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166925"/>
  <xr:revisionPtr revIDLastSave="0" documentId="8_{EE6F1BAF-C3E4-49B8-91CD-25B13F74C8FB}" xr6:coauthVersionLast="47" xr6:coauthVersionMax="47" xr10:uidLastSave="{00000000-0000-0000-0000-000000000000}"/>
  <bookViews>
    <workbookView xWindow="29025" yWindow="5925" windowWidth="33990" windowHeight="18735" activeTab="1" xr2:uid="{02F928FD-F686-4F51-B618-CD20C7DC7B41}"/>
  </bookViews>
  <sheets>
    <sheet name="Instructions and Inputs" sheetId="1" r:id="rId1"/>
    <sheet name="Cap Table" sheetId="8" r:id="rId2"/>
    <sheet name="Summary" sheetId="9" r:id="rId3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" i="9" l="1"/>
  <c r="D14" i="9"/>
  <c r="K14" i="9" s="1"/>
  <c r="C14" i="9"/>
  <c r="L17" i="9" l="1"/>
  <c r="L18" i="9"/>
  <c r="C7" i="9" l="1"/>
  <c r="C8" i="9"/>
  <c r="C9" i="9"/>
  <c r="C10" i="9"/>
  <c r="C11" i="9"/>
  <c r="C12" i="9"/>
  <c r="C13" i="9"/>
  <c r="C15" i="9"/>
  <c r="C16" i="9"/>
  <c r="C6" i="9"/>
  <c r="H7" i="9"/>
  <c r="H8" i="9"/>
  <c r="H9" i="9"/>
  <c r="H10" i="9"/>
  <c r="H11" i="9"/>
  <c r="H12" i="9"/>
  <c r="H13" i="9"/>
  <c r="H6" i="9"/>
  <c r="F7" i="9"/>
  <c r="F8" i="9"/>
  <c r="F9" i="9"/>
  <c r="F15" i="9"/>
  <c r="F16" i="9"/>
  <c r="F6" i="9"/>
  <c r="L6" i="9" s="1"/>
  <c r="D7" i="9"/>
  <c r="K7" i="9" s="1"/>
  <c r="D8" i="9"/>
  <c r="K8" i="9" s="1"/>
  <c r="D9" i="9"/>
  <c r="K9" i="9" s="1"/>
  <c r="D10" i="9"/>
  <c r="K10" i="9" s="1"/>
  <c r="D11" i="9"/>
  <c r="K11" i="9" s="1"/>
  <c r="D12" i="9"/>
  <c r="K12" i="9" s="1"/>
  <c r="D13" i="9"/>
  <c r="K13" i="9" s="1"/>
  <c r="D15" i="9"/>
  <c r="K15" i="9" s="1"/>
  <c r="D16" i="9"/>
  <c r="K16" i="9" s="1"/>
  <c r="D6" i="9"/>
  <c r="K6" i="9" s="1"/>
  <c r="M6" i="9" l="1"/>
  <c r="L8" i="9"/>
  <c r="M8" i="9" s="1"/>
  <c r="L9" i="9"/>
  <c r="M9" i="9" s="1"/>
  <c r="L7" i="9"/>
  <c r="M7" i="9" s="1"/>
  <c r="D40" i="8" l="1"/>
  <c r="D39" i="8"/>
  <c r="D33" i="8" l="1"/>
  <c r="E33" i="8"/>
  <c r="AA33" i="8"/>
  <c r="H6" i="8" s="1"/>
  <c r="H7" i="8" s="1"/>
  <c r="M25" i="8"/>
  <c r="N25" i="8" s="1"/>
  <c r="M26" i="8"/>
  <c r="N26" i="8" s="1"/>
  <c r="M24" i="8"/>
  <c r="N24" i="8" s="1"/>
  <c r="F18" i="8" l="1"/>
  <c r="AE18" i="8" s="1"/>
  <c r="F19" i="8"/>
  <c r="AE19" i="8" s="1"/>
  <c r="F20" i="8"/>
  <c r="AE20" i="8" s="1"/>
  <c r="F21" i="8"/>
  <c r="F22" i="8"/>
  <c r="AE22" i="8" s="1"/>
  <c r="F23" i="8"/>
  <c r="AE23" i="8" s="1"/>
  <c r="F31" i="8"/>
  <c r="F17" i="8"/>
  <c r="AE17" i="8" s="1"/>
  <c r="H33" i="8"/>
  <c r="O25" i="8"/>
  <c r="O26" i="8"/>
  <c r="O24" i="8"/>
  <c r="AE31" i="8" l="1"/>
  <c r="D18" i="9"/>
  <c r="AE21" i="8"/>
  <c r="F39" i="8" s="1"/>
  <c r="D17" i="9"/>
  <c r="F38" i="8"/>
  <c r="D38" i="8"/>
  <c r="F33" i="8"/>
  <c r="H8" i="8" s="1"/>
  <c r="K17" i="9" l="1"/>
  <c r="M17" i="9" s="1"/>
  <c r="D19" i="9"/>
  <c r="E18" i="9" s="1"/>
  <c r="Q26" i="8"/>
  <c r="Q24" i="8"/>
  <c r="Q25" i="8"/>
  <c r="D44" i="8"/>
  <c r="E38" i="8" s="1"/>
  <c r="G17" i="8"/>
  <c r="G21" i="8"/>
  <c r="G22" i="8"/>
  <c r="G23" i="8"/>
  <c r="G18" i="8"/>
  <c r="G31" i="8"/>
  <c r="G19" i="8"/>
  <c r="G20" i="8"/>
  <c r="E17" i="9" l="1"/>
  <c r="E14" i="9"/>
  <c r="E7" i="9"/>
  <c r="E9" i="9"/>
  <c r="E16" i="9"/>
  <c r="E13" i="9"/>
  <c r="E10" i="9"/>
  <c r="E6" i="9"/>
  <c r="E15" i="9"/>
  <c r="E11" i="9"/>
  <c r="E12" i="9"/>
  <c r="E8" i="9"/>
  <c r="E39" i="8"/>
  <c r="E40" i="8"/>
  <c r="G33" i="8"/>
  <c r="E19" i="9" l="1"/>
  <c r="E44" i="8"/>
  <c r="H9" i="8"/>
  <c r="H10" i="8"/>
  <c r="H11" i="8"/>
  <c r="AF17" i="8"/>
  <c r="AF18" i="8"/>
  <c r="AF19" i="8"/>
  <c r="AF20" i="8"/>
  <c r="AF21" i="8"/>
  <c r="AF22" i="8"/>
  <c r="AF23" i="8"/>
  <c r="P24" i="8"/>
  <c r="R24" i="8"/>
  <c r="S24" i="8"/>
  <c r="AE24" i="8"/>
  <c r="AF24" i="8"/>
  <c r="P25" i="8"/>
  <c r="R25" i="8"/>
  <c r="S25" i="8"/>
  <c r="AE25" i="8"/>
  <c r="AF25" i="8"/>
  <c r="P26" i="8"/>
  <c r="R26" i="8"/>
  <c r="S26" i="8"/>
  <c r="AE26" i="8"/>
  <c r="AF26" i="8"/>
  <c r="W27" i="8"/>
  <c r="X27" i="8"/>
  <c r="Y27" i="8"/>
  <c r="AE27" i="8"/>
  <c r="AF27" i="8"/>
  <c r="W28" i="8"/>
  <c r="X28" i="8"/>
  <c r="Y28" i="8"/>
  <c r="AE28" i="8"/>
  <c r="AF28" i="8"/>
  <c r="AB29" i="8"/>
  <c r="AC29" i="8"/>
  <c r="AD29" i="8"/>
  <c r="AE29" i="8"/>
  <c r="AF29" i="8"/>
  <c r="AB30" i="8"/>
  <c r="AC30" i="8"/>
  <c r="AD30" i="8"/>
  <c r="AE30" i="8"/>
  <c r="AF30" i="8"/>
  <c r="AF31" i="8"/>
  <c r="Z32" i="8"/>
  <c r="AE32" i="8"/>
  <c r="AF32" i="8"/>
  <c r="R33" i="8"/>
  <c r="S33" i="8"/>
  <c r="Y33" i="8"/>
  <c r="Z33" i="8"/>
  <c r="AC33" i="8"/>
  <c r="AE33" i="8"/>
  <c r="AF33" i="8"/>
  <c r="G38" i="8"/>
  <c r="G39" i="8"/>
  <c r="F40" i="8"/>
  <c r="G40" i="8"/>
  <c r="F41" i="8"/>
  <c r="G41" i="8"/>
  <c r="F42" i="8"/>
  <c r="G42" i="8"/>
  <c r="F43" i="8"/>
  <c r="G43" i="8"/>
  <c r="F44" i="8"/>
  <c r="G44" i="8"/>
  <c r="I6" i="9"/>
  <c r="N6" i="9"/>
  <c r="O6" i="9"/>
  <c r="I7" i="9"/>
  <c r="N7" i="9"/>
  <c r="O7" i="9"/>
  <c r="I8" i="9"/>
  <c r="N8" i="9"/>
  <c r="O8" i="9"/>
  <c r="I9" i="9"/>
  <c r="N9" i="9"/>
  <c r="O9" i="9"/>
  <c r="F10" i="9"/>
  <c r="I10" i="9"/>
  <c r="L10" i="9"/>
  <c r="M10" i="9"/>
  <c r="N10" i="9"/>
  <c r="O10" i="9"/>
  <c r="F11" i="9"/>
  <c r="I11" i="9"/>
  <c r="L11" i="9"/>
  <c r="M11" i="9"/>
  <c r="N11" i="9"/>
  <c r="O11" i="9"/>
  <c r="F12" i="9"/>
  <c r="I12" i="9"/>
  <c r="L12" i="9"/>
  <c r="M12" i="9"/>
  <c r="N12" i="9"/>
  <c r="O12" i="9"/>
  <c r="F13" i="9"/>
  <c r="I13" i="9"/>
  <c r="L13" i="9"/>
  <c r="M13" i="9"/>
  <c r="N13" i="9"/>
  <c r="O13" i="9"/>
  <c r="F14" i="9"/>
  <c r="I14" i="9"/>
  <c r="L14" i="9"/>
  <c r="M14" i="9"/>
  <c r="N14" i="9"/>
  <c r="O14" i="9"/>
  <c r="G15" i="9"/>
  <c r="H15" i="9"/>
  <c r="I15" i="9"/>
  <c r="L15" i="9"/>
  <c r="M15" i="9"/>
  <c r="N15" i="9"/>
  <c r="O15" i="9"/>
  <c r="G16" i="9"/>
  <c r="H16" i="9"/>
  <c r="I16" i="9"/>
  <c r="L16" i="9"/>
  <c r="M16" i="9"/>
  <c r="N16" i="9"/>
  <c r="O16" i="9"/>
  <c r="I17" i="9"/>
  <c r="O17" i="9"/>
  <c r="I18" i="9"/>
  <c r="J18" i="9"/>
  <c r="K18" i="9"/>
  <c r="M18" i="9"/>
  <c r="O18" i="9"/>
  <c r="F19" i="9"/>
  <c r="H19" i="9"/>
  <c r="I19" i="9"/>
  <c r="K19" i="9"/>
  <c r="L19" i="9"/>
  <c r="M19" i="9"/>
  <c r="N19" i="9"/>
  <c r="O19" i="9"/>
</calcChain>
</file>

<file path=xl/sharedStrings.xml><?xml version="1.0" encoding="utf-8"?>
<sst xmlns="http://schemas.openxmlformats.org/spreadsheetml/2006/main" count="104" uniqueCount="86">
  <si>
    <t>Common</t>
  </si>
  <si>
    <t>Shareholder</t>
  </si>
  <si>
    <t>Founder 1</t>
  </si>
  <si>
    <t>Founder 2</t>
  </si>
  <si>
    <t>Founder 3</t>
  </si>
  <si>
    <t>Founder 4</t>
  </si>
  <si>
    <t>Total</t>
  </si>
  <si>
    <t>Employee 1</t>
  </si>
  <si>
    <t>Employee 2</t>
  </si>
  <si>
    <t>Advisor 1</t>
  </si>
  <si>
    <t>Disbursement Date</t>
  </si>
  <si>
    <t>Discount</t>
  </si>
  <si>
    <t>Days</t>
  </si>
  <si>
    <t>Seed</t>
  </si>
  <si>
    <t>Convertible Investor 1</t>
  </si>
  <si>
    <t>Convertible Investor 2</t>
  </si>
  <si>
    <t>Convertible Investor 3</t>
  </si>
  <si>
    <t>Seed Funding Closing Date</t>
  </si>
  <si>
    <t>Pre-Money Valuation</t>
  </si>
  <si>
    <t>Post-Money Valuation</t>
  </si>
  <si>
    <t>Seed Price</t>
  </si>
  <si>
    <t>Seed Investment</t>
  </si>
  <si>
    <t>Please turn on "Iterative Calculations" to ensure that the formulas work correctly.</t>
  </si>
  <si>
    <t>Option Pool</t>
  </si>
  <si>
    <t>Investment</t>
  </si>
  <si>
    <t>Total Shares</t>
  </si>
  <si>
    <t>Seed Investor 1</t>
  </si>
  <si>
    <t>Seed Investor 2</t>
  </si>
  <si>
    <t>Required Seed Round Option Pool Expansion</t>
  </si>
  <si>
    <t>Target Option Pool % of Post Seed Round Fully Diluted Share Capital</t>
  </si>
  <si>
    <t>Cap Table</t>
  </si>
  <si>
    <t>Summary</t>
  </si>
  <si>
    <t>Pre-Seed</t>
  </si>
  <si>
    <t>Fully Diluted</t>
  </si>
  <si>
    <t>FD %</t>
  </si>
  <si>
    <t>Post-Seed</t>
  </si>
  <si>
    <t>FD%</t>
  </si>
  <si>
    <t>Founders</t>
  </si>
  <si>
    <t>Employees and Advisors</t>
  </si>
  <si>
    <t>Convertible Investors</t>
  </si>
  <si>
    <t>Seed Investors</t>
  </si>
  <si>
    <t>TOTAL</t>
  </si>
  <si>
    <t xml:space="preserve">On Windows: File -&gt; Options -&gt; Formulas -&gt; Check "Enable Iterative Calculations". </t>
  </si>
  <si>
    <t>SAFE</t>
  </si>
  <si>
    <t>Fully Diluted Share Capital Before Conversion of Loans and SAFE</t>
  </si>
  <si>
    <t>Pre-investment</t>
  </si>
  <si>
    <t>Post-investment</t>
  </si>
  <si>
    <t>Allocated Option Pool</t>
  </si>
  <si>
    <t>Unallocated Option Pool</t>
  </si>
  <si>
    <t>Pre-investment Option Pool</t>
  </si>
  <si>
    <t>Option Pool Expansion</t>
  </si>
  <si>
    <t>% FD</t>
  </si>
  <si>
    <t>Opt. Pool Expansion</t>
  </si>
  <si>
    <t>% UD</t>
  </si>
  <si>
    <t>Common Shares</t>
  </si>
  <si>
    <t>Common Options</t>
  </si>
  <si>
    <t>Total Common</t>
  </si>
  <si>
    <t>% Common</t>
  </si>
  <si>
    <t>Loan Amount</t>
  </si>
  <si>
    <t>Interest Rate</t>
  </si>
  <si>
    <t>Valuation Cap</t>
  </si>
  <si>
    <t>Interest Accrued</t>
  </si>
  <si>
    <t>Loan + Interest</t>
  </si>
  <si>
    <t>Conv. Price at Disount</t>
  </si>
  <si>
    <t>Conv. Price at Cap</t>
  </si>
  <si>
    <t>Conversion Shares</t>
  </si>
  <si>
    <t>% of Seed</t>
  </si>
  <si>
    <t>Conv. Price at Discount</t>
  </si>
  <si>
    <t>Convertible Loans and their conversion</t>
  </si>
  <si>
    <t>SAFE and its conversion</t>
  </si>
  <si>
    <t>Cash Investment</t>
  </si>
  <si>
    <t>Precise Investment</t>
  </si>
  <si>
    <t>Seed Shares</t>
  </si>
  <si>
    <t>FD Share Capital Before Seed Round (after loan conversion and OP expansion)</t>
  </si>
  <si>
    <t>Pre-money SAFE Investor</t>
  </si>
  <si>
    <t>Post-money SAFE Investor</t>
  </si>
  <si>
    <t>Cells that have a BLUE background are inputs - only enter number into these cells.</t>
  </si>
  <si>
    <t>Cells in BLACK are formulas, and should not be altered.</t>
  </si>
  <si>
    <t>On MacOS: Excel Preferences -&gt; Calculation -&gt; Check "Use Iterative Calculation".</t>
  </si>
  <si>
    <t>The Company's Articles of Association may provide that the minimum nominal value is higher, for example 1 EUR. This may be the case in particular If the company has been incorporated before 1.08.2020, considering that 1 EUR was the default minimum value under law before 1.08.2020.</t>
  </si>
  <si>
    <t>In the latter case, please consult your legal advisor before using this captable.</t>
  </si>
  <si>
    <t>This captable assumes that the minimum nominal value of company's shares is 0.01 EUR which is the default minimum value under law as of 1.08.2020.</t>
  </si>
  <si>
    <t>Seed Preferred Shares</t>
  </si>
  <si>
    <t>Conversion Seed Preferred Shares</t>
  </si>
  <si>
    <t>New Seed Preferred Shares</t>
  </si>
  <si>
    <t xml:space="preserve">Investment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</si>
</sst>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0\ [$€-425]"/>
    <numFmt numFmtId="165" formatCode="dd/mm/yyyy;@"/>
    <numFmt numFmtId="166" formatCode="_-* #,##0_-;\-* #,##0_-;_-* &quot;-&quot;??_-;_-@_-"/>
    <numFmt numFmtId="167" formatCode="_-* #,##0\ _€_-;\-* #,##0\ _€_-;_-* &quot;-&quot;??\ _€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4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  <charset val="186"/>
    </font>
  </fonts>
  <fills count="12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7FFFF"/>
        <bgColor indexed="64"/>
      </patternFill>
    </fill>
    <fill>
      <patternFill patternType="solid">
        <fgColor theme="8" tint="0.79998168889431442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19">
    <xf numFmtId="0" fontId="0" fillId="0" borderId="0" xfId="0"/>
    <xf numFmtId="0" fontId="0" fillId="2" borderId="0" xfId="0" applyFill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10" fontId="0" fillId="0" borderId="0" xfId="0" applyNumberFormat="1"/>
    <xf numFmtId="0" fontId="0" fillId="5" borderId="0" xfId="0" applyFill="1"/>
    <xf numFmtId="0" fontId="0" fillId="5" borderId="0" xfId="0" applyFill="1" applyAlignment="1">
      <alignment wrapText="1"/>
    </xf>
    <xf numFmtId="10" fontId="0" fillId="2" borderId="0" xfId="0" applyNumberFormat="1" applyFill="1"/>
    <xf numFmtId="0" fontId="1" fillId="2" borderId="0" xfId="0" applyFont="1" applyFill="1"/>
    <xf numFmtId="0" fontId="1" fillId="5" borderId="0" xfId="0" applyFont="1" applyFill="1"/>
    <xf numFmtId="0" fontId="1" fillId="0" borderId="0" xfId="0" applyFont="1"/>
    <xf numFmtId="2" fontId="0" fillId="0" borderId="0" xfId="0" applyNumberFormat="1"/>
    <xf numFmtId="10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2" borderId="0" xfId="0" applyFont="1" applyFill="1"/>
    <xf numFmtId="0" fontId="3" fillId="5" borderId="0" xfId="0" applyFont="1" applyFill="1"/>
    <xf numFmtId="0" fontId="3" fillId="2" borderId="0" xfId="0" applyFont="1" applyFill="1" applyAlignment="1">
      <alignment wrapText="1"/>
    </xf>
    <xf numFmtId="0" fontId="3" fillId="5" borderId="0" xfId="0" applyFont="1" applyFill="1" applyAlignment="1">
      <alignment wrapText="1"/>
    </xf>
    <xf numFmtId="0" fontId="4" fillId="0" borderId="13" xfId="0" applyFont="1" applyBorder="1"/>
    <xf numFmtId="43" fontId="4" fillId="5" borderId="2" xfId="1" applyFont="1" applyFill="1" applyBorder="1" applyAlignment="1">
      <alignment horizontal="right"/>
    </xf>
    <xf numFmtId="10" fontId="4" fillId="0" borderId="14" xfId="2" applyNumberFormat="1" applyFont="1" applyFill="1" applyBorder="1" applyAlignment="1">
      <alignment horizontal="right"/>
    </xf>
    <xf numFmtId="0" fontId="4" fillId="0" borderId="44" xfId="0" applyFont="1" applyBorder="1" applyAlignment="1">
      <alignment horizontal="center"/>
    </xf>
    <xf numFmtId="10" fontId="4" fillId="0" borderId="1" xfId="0" applyNumberFormat="1" applyFont="1" applyBorder="1" applyAlignment="1">
      <alignment horizontal="right"/>
    </xf>
    <xf numFmtId="0" fontId="4" fillId="0" borderId="45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10" fontId="4" fillId="0" borderId="22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4" fillId="0" borderId="48" xfId="0" applyFont="1" applyBorder="1"/>
    <xf numFmtId="43" fontId="4" fillId="5" borderId="37" xfId="1" applyFont="1" applyFill="1" applyBorder="1" applyAlignment="1">
      <alignment horizontal="right"/>
    </xf>
    <xf numFmtId="10" fontId="4" fillId="0" borderId="38" xfId="2" applyNumberFormat="1" applyFont="1" applyFill="1" applyBorder="1" applyAlignment="1">
      <alignment horizontal="right"/>
    </xf>
    <xf numFmtId="0" fontId="4" fillId="0" borderId="46" xfId="0" applyFont="1" applyBorder="1" applyAlignment="1">
      <alignment horizontal="center"/>
    </xf>
    <xf numFmtId="10" fontId="4" fillId="0" borderId="36" xfId="0" applyNumberFormat="1" applyFont="1" applyBorder="1" applyAlignment="1">
      <alignment horizontal="right"/>
    </xf>
    <xf numFmtId="0" fontId="4" fillId="0" borderId="36" xfId="0" applyFont="1" applyBorder="1" applyAlignment="1">
      <alignment horizontal="right"/>
    </xf>
    <xf numFmtId="10" fontId="4" fillId="0" borderId="47" xfId="0" applyNumberFormat="1" applyFont="1" applyBorder="1" applyAlignment="1">
      <alignment horizontal="right"/>
    </xf>
    <xf numFmtId="0" fontId="5" fillId="2" borderId="0" xfId="0" applyFont="1" applyFill="1"/>
    <xf numFmtId="0" fontId="5" fillId="5" borderId="0" xfId="0" applyFont="1" applyFill="1"/>
    <xf numFmtId="0" fontId="5" fillId="3" borderId="39" xfId="0" applyFont="1" applyFill="1" applyBorder="1"/>
    <xf numFmtId="10" fontId="5" fillId="3" borderId="41" xfId="0" applyNumberFormat="1" applyFont="1" applyFill="1" applyBorder="1" applyAlignment="1">
      <alignment horizontal="center"/>
    </xf>
    <xf numFmtId="164" fontId="5" fillId="3" borderId="49" xfId="0" applyNumberFormat="1" applyFont="1" applyFill="1" applyBorder="1" applyAlignment="1">
      <alignment horizontal="center"/>
    </xf>
    <xf numFmtId="10" fontId="5" fillId="3" borderId="40" xfId="0" applyNumberFormat="1" applyFont="1" applyFill="1" applyBorder="1" applyAlignment="1">
      <alignment horizontal="right"/>
    </xf>
    <xf numFmtId="0" fontId="5" fillId="3" borderId="50" xfId="0" applyFont="1" applyFill="1" applyBorder="1" applyAlignment="1">
      <alignment horizontal="right"/>
    </xf>
    <xf numFmtId="10" fontId="4" fillId="0" borderId="1" xfId="2" applyNumberFormat="1" applyFont="1" applyBorder="1" applyAlignment="1">
      <alignment horizontal="right"/>
    </xf>
    <xf numFmtId="10" fontId="5" fillId="3" borderId="40" xfId="2" applyNumberFormat="1" applyFont="1" applyFill="1" applyBorder="1" applyAlignment="1">
      <alignment horizontal="center"/>
    </xf>
    <xf numFmtId="0" fontId="3" fillId="0" borderId="0" xfId="0" applyFont="1"/>
    <xf numFmtId="10" fontId="3" fillId="0" borderId="0" xfId="0" applyNumberFormat="1" applyFont="1"/>
    <xf numFmtId="165" fontId="6" fillId="10" borderId="34" xfId="0" applyNumberFormat="1" applyFont="1" applyFill="1" applyBorder="1"/>
    <xf numFmtId="164" fontId="6" fillId="10" borderId="22" xfId="0" applyNumberFormat="1" applyFont="1" applyFill="1" applyBorder="1"/>
    <xf numFmtId="10" fontId="6" fillId="10" borderId="22" xfId="0" applyNumberFormat="1" applyFont="1" applyFill="1" applyBorder="1"/>
    <xf numFmtId="164" fontId="3" fillId="0" borderId="22" xfId="0" applyNumberFormat="1" applyFont="1" applyBorder="1"/>
    <xf numFmtId="164" fontId="3" fillId="0" borderId="18" xfId="0" applyNumberFormat="1" applyFont="1" applyBorder="1"/>
    <xf numFmtId="0" fontId="3" fillId="6" borderId="28" xfId="0" applyFont="1" applyFill="1" applyBorder="1" applyAlignment="1">
      <alignment horizontal="center"/>
    </xf>
    <xf numFmtId="0" fontId="4" fillId="11" borderId="13" xfId="0" applyFont="1" applyFill="1" applyBorder="1"/>
    <xf numFmtId="0" fontId="4" fillId="11" borderId="2" xfId="0" applyFont="1" applyFill="1" applyBorder="1" applyAlignment="1">
      <alignment horizontal="center"/>
    </xf>
    <xf numFmtId="10" fontId="4" fillId="0" borderId="14" xfId="0" applyNumberFormat="1" applyFont="1" applyBorder="1" applyAlignment="1">
      <alignment horizontal="center"/>
    </xf>
    <xf numFmtId="164" fontId="4" fillId="11" borderId="15" xfId="0" applyNumberFormat="1" applyFont="1" applyFill="1" applyBorder="1" applyAlignment="1">
      <alignment horizontal="center"/>
    </xf>
    <xf numFmtId="165" fontId="4" fillId="11" borderId="1" xfId="0" applyNumberFormat="1" applyFont="1" applyFill="1" applyBorder="1" applyAlignment="1">
      <alignment horizontal="center"/>
    </xf>
    <xf numFmtId="10" fontId="4" fillId="11" borderId="1" xfId="0" applyNumberFormat="1" applyFont="1" applyFill="1" applyBorder="1" applyAlignment="1">
      <alignment horizontal="center"/>
    </xf>
    <xf numFmtId="164" fontId="4" fillId="11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10" fontId="3" fillId="0" borderId="5" xfId="0" applyNumberFormat="1" applyFont="1" applyBorder="1" applyAlignment="1">
      <alignment horizontal="center"/>
    </xf>
    <xf numFmtId="164" fontId="4" fillId="11" borderId="13" xfId="0" applyNumberFormat="1" applyFont="1" applyFill="1" applyBorder="1" applyAlignment="1">
      <alignment horizontal="center"/>
    </xf>
    <xf numFmtId="10" fontId="4" fillId="11" borderId="2" xfId="0" applyNumberFormat="1" applyFont="1" applyFill="1" applyBorder="1" applyAlignment="1">
      <alignment horizontal="center"/>
    </xf>
    <xf numFmtId="164" fontId="4" fillId="11" borderId="2" xfId="0" applyNumberFormat="1" applyFont="1" applyFill="1" applyBorder="1" applyAlignment="1">
      <alignment horizontal="center"/>
    </xf>
    <xf numFmtId="164" fontId="3" fillId="0" borderId="43" xfId="0" applyNumberFormat="1" applyFont="1" applyBorder="1" applyAlignment="1">
      <alignment horizontal="center"/>
    </xf>
    <xf numFmtId="0" fontId="3" fillId="0" borderId="43" xfId="0" applyFont="1" applyBorder="1" applyAlignment="1">
      <alignment horizontal="center"/>
    </xf>
    <xf numFmtId="10" fontId="3" fillId="0" borderId="22" xfId="0" applyNumberFormat="1" applyFont="1" applyBorder="1" applyAlignment="1">
      <alignment horizontal="center"/>
    </xf>
    <xf numFmtId="0" fontId="4" fillId="11" borderId="15" xfId="0" applyFont="1" applyFill="1" applyBorder="1"/>
    <xf numFmtId="164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11" borderId="1" xfId="0" applyFont="1" applyFill="1" applyBorder="1" applyAlignment="1">
      <alignment horizontal="center"/>
    </xf>
    <xf numFmtId="0" fontId="3" fillId="0" borderId="15" xfId="0" applyFont="1" applyBorder="1"/>
    <xf numFmtId="0" fontId="3" fillId="0" borderId="35" xfId="0" applyFont="1" applyBorder="1" applyAlignment="1">
      <alignment wrapText="1"/>
    </xf>
    <xf numFmtId="0" fontId="4" fillId="11" borderId="36" xfId="0" applyFont="1" applyFill="1" applyBorder="1" applyAlignment="1">
      <alignment horizontal="center"/>
    </xf>
    <xf numFmtId="10" fontId="4" fillId="0" borderId="38" xfId="0" applyNumberFormat="1" applyFont="1" applyBorder="1" applyAlignment="1">
      <alignment horizontal="center"/>
    </xf>
    <xf numFmtId="164" fontId="4" fillId="11" borderId="35" xfId="0" applyNumberFormat="1" applyFont="1" applyFill="1" applyBorder="1" applyAlignment="1">
      <alignment horizontal="center"/>
    </xf>
    <xf numFmtId="0" fontId="3" fillId="0" borderId="36" xfId="0" applyFont="1" applyBorder="1" applyAlignment="1">
      <alignment horizontal="center"/>
    </xf>
    <xf numFmtId="10" fontId="3" fillId="0" borderId="42" xfId="0" applyNumberFormat="1" applyFont="1" applyBorder="1" applyAlignment="1">
      <alignment horizontal="center"/>
    </xf>
    <xf numFmtId="0" fontId="5" fillId="3" borderId="16" xfId="0" applyFont="1" applyFill="1" applyBorder="1"/>
    <xf numFmtId="10" fontId="5" fillId="3" borderId="18" xfId="0" applyNumberFormat="1" applyFont="1" applyFill="1" applyBorder="1" applyAlignment="1">
      <alignment horizontal="center"/>
    </xf>
    <xf numFmtId="164" fontId="5" fillId="4" borderId="16" xfId="0" applyNumberFormat="1" applyFont="1" applyFill="1" applyBorder="1" applyAlignment="1">
      <alignment horizontal="center"/>
    </xf>
    <xf numFmtId="0" fontId="5" fillId="4" borderId="23" xfId="0" applyFont="1" applyFill="1" applyBorder="1" applyAlignment="1">
      <alignment horizontal="center"/>
    </xf>
    <xf numFmtId="0" fontId="5" fillId="4" borderId="24" xfId="0" applyFont="1" applyFill="1" applyBorder="1" applyAlignment="1">
      <alignment horizontal="center"/>
    </xf>
    <xf numFmtId="0" fontId="5" fillId="4" borderId="25" xfId="0" applyFont="1" applyFill="1" applyBorder="1" applyAlignment="1">
      <alignment horizontal="center"/>
    </xf>
    <xf numFmtId="10" fontId="5" fillId="4" borderId="23" xfId="0" applyNumberFormat="1" applyFont="1" applyFill="1" applyBorder="1" applyAlignment="1">
      <alignment horizontal="center"/>
    </xf>
    <xf numFmtId="10" fontId="5" fillId="9" borderId="16" xfId="0" applyNumberFormat="1" applyFont="1" applyFill="1" applyBorder="1" applyAlignment="1">
      <alignment horizontal="center"/>
    </xf>
    <xf numFmtId="10" fontId="5" fillId="9" borderId="17" xfId="0" applyNumberFormat="1" applyFont="1" applyFill="1" applyBorder="1" applyAlignment="1">
      <alignment horizontal="center"/>
    </xf>
    <xf numFmtId="10" fontId="5" fillId="9" borderId="23" xfId="0" applyNumberFormat="1" applyFont="1" applyFill="1" applyBorder="1" applyAlignment="1">
      <alignment horizontal="center"/>
    </xf>
    <xf numFmtId="164" fontId="5" fillId="7" borderId="16" xfId="0" applyNumberFormat="1" applyFont="1" applyFill="1" applyBorder="1" applyAlignment="1">
      <alignment horizontal="center"/>
    </xf>
    <xf numFmtId="0" fontId="5" fillId="7" borderId="29" xfId="0" applyFont="1" applyFill="1" applyBorder="1" applyAlignment="1">
      <alignment horizontal="center"/>
    </xf>
    <xf numFmtId="0" fontId="5" fillId="7" borderId="27" xfId="0" applyFont="1" applyFill="1" applyBorder="1" applyAlignment="1">
      <alignment horizontal="center"/>
    </xf>
    <xf numFmtId="10" fontId="5" fillId="8" borderId="18" xfId="0" applyNumberFormat="1" applyFont="1" applyFill="1" applyBorder="1" applyAlignment="1">
      <alignment horizontal="center"/>
    </xf>
    <xf numFmtId="0" fontId="3" fillId="8" borderId="32" xfId="0" applyFont="1" applyFill="1" applyBorder="1" applyAlignment="1">
      <alignment horizontal="center"/>
    </xf>
    <xf numFmtId="0" fontId="3" fillId="8" borderId="15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10" fontId="3" fillId="7" borderId="22" xfId="0" applyNumberFormat="1" applyFont="1" applyFill="1" applyBorder="1" applyAlignment="1">
      <alignment horizontal="center"/>
    </xf>
    <xf numFmtId="10" fontId="3" fillId="0" borderId="1" xfId="0" applyNumberFormat="1" applyFont="1" applyBorder="1"/>
    <xf numFmtId="10" fontId="3" fillId="0" borderId="22" xfId="0" applyNumberFormat="1" applyFont="1" applyBorder="1"/>
    <xf numFmtId="2" fontId="3" fillId="0" borderId="0" xfId="0" applyNumberFormat="1" applyFont="1"/>
    <xf numFmtId="0" fontId="3" fillId="0" borderId="35" xfId="0" applyFont="1" applyBorder="1"/>
    <xf numFmtId="10" fontId="3" fillId="0" borderId="36" xfId="0" applyNumberFormat="1" applyFont="1" applyBorder="1"/>
    <xf numFmtId="0" fontId="3" fillId="0" borderId="39" xfId="0" applyFont="1" applyBorder="1" applyAlignment="1">
      <alignment horizontal="center"/>
    </xf>
    <xf numFmtId="10" fontId="3" fillId="0" borderId="40" xfId="0" applyNumberFormat="1" applyFont="1" applyBorder="1"/>
    <xf numFmtId="10" fontId="3" fillId="0" borderId="41" xfId="0" applyNumberFormat="1" applyFont="1" applyBorder="1"/>
    <xf numFmtId="164" fontId="3" fillId="0" borderId="0" xfId="0" applyNumberFormat="1" applyFont="1"/>
    <xf numFmtId="10" fontId="3" fillId="0" borderId="0" xfId="2" applyNumberFormat="1" applyFont="1"/>
    <xf numFmtId="0" fontId="4" fillId="11" borderId="0" xfId="0" applyFont="1" applyFill="1"/>
    <xf numFmtId="0" fontId="7" fillId="5" borderId="0" xfId="0" applyFont="1" applyFill="1"/>
    <xf numFmtId="0" fontId="8" fillId="11" borderId="0" xfId="0" applyFont="1" applyFill="1"/>
    <xf numFmtId="166" fontId="4" fillId="11" borderId="2" xfId="1" applyNumberFormat="1" applyFont="1" applyFill="1" applyBorder="1" applyAlignment="1">
      <alignment horizontal="center"/>
    </xf>
    <xf numFmtId="166" fontId="4" fillId="11" borderId="2" xfId="0" applyNumberFormat="1" applyFont="1" applyFill="1" applyBorder="1" applyAlignment="1">
      <alignment horizontal="center"/>
    </xf>
    <xf numFmtId="166" fontId="4" fillId="11" borderId="1" xfId="0" applyNumberFormat="1" applyFont="1" applyFill="1" applyBorder="1" applyAlignment="1">
      <alignment horizontal="center"/>
    </xf>
    <xf numFmtId="166" fontId="4" fillId="11" borderId="36" xfId="0" applyNumberFormat="1" applyFont="1" applyFill="1" applyBorder="1" applyAlignment="1">
      <alignment horizontal="center"/>
    </xf>
    <xf numFmtId="166" fontId="5" fillId="3" borderId="17" xfId="0" applyNumberFormat="1" applyFont="1" applyFill="1" applyBorder="1" applyAlignment="1">
      <alignment horizontal="center"/>
    </xf>
    <xf numFmtId="166" fontId="4" fillId="0" borderId="2" xfId="1" applyNumberFormat="1" applyFont="1" applyFill="1" applyBorder="1" applyAlignment="1">
      <alignment horizontal="center"/>
    </xf>
    <xf numFmtId="166" fontId="4" fillId="0" borderId="2" xfId="0" applyNumberFormat="1" applyFont="1" applyBorder="1" applyAlignment="1">
      <alignment horizontal="center"/>
    </xf>
    <xf numFmtId="166" fontId="4" fillId="0" borderId="37" xfId="0" applyNumberFormat="1" applyFont="1" applyBorder="1" applyAlignment="1">
      <alignment horizontal="center"/>
    </xf>
    <xf numFmtId="166" fontId="3" fillId="0" borderId="22" xfId="1" applyNumberFormat="1" applyFont="1" applyFill="1" applyBorder="1"/>
    <xf numFmtId="166" fontId="3" fillId="0" borderId="1" xfId="1" applyNumberFormat="1" applyFont="1" applyBorder="1"/>
    <xf numFmtId="166" fontId="3" fillId="0" borderId="1" xfId="0" applyNumberFormat="1" applyFont="1" applyBorder="1"/>
    <xf numFmtId="166" fontId="3" fillId="0" borderId="36" xfId="0" applyNumberFormat="1" applyFont="1" applyBorder="1"/>
    <xf numFmtId="166" fontId="3" fillId="0" borderId="40" xfId="1" applyNumberFormat="1" applyFont="1" applyBorder="1"/>
    <xf numFmtId="166" fontId="3" fillId="0" borderId="0" xfId="1" applyNumberFormat="1" applyFont="1"/>
    <xf numFmtId="166" fontId="3" fillId="0" borderId="22" xfId="1" applyNumberFormat="1" applyFont="1" applyFill="1" applyBorder="1" applyAlignment="1"/>
    <xf numFmtId="0" fontId="4" fillId="0" borderId="1" xfId="0" applyFont="1" applyBorder="1" applyAlignment="1">
      <alignment horizontal="center"/>
    </xf>
    <xf numFmtId="166" fontId="9" fillId="4" borderId="17" xfId="1" applyNumberFormat="1" applyFont="1" applyFill="1" applyBorder="1" applyAlignment="1">
      <alignment horizontal="center"/>
    </xf>
    <xf numFmtId="166" fontId="3" fillId="0" borderId="15" xfId="1" applyNumberFormat="1" applyFont="1" applyBorder="1" applyAlignment="1">
      <alignment horizontal="center"/>
    </xf>
    <xf numFmtId="166" fontId="5" fillId="8" borderId="26" xfId="1" applyNumberFormat="1" applyFont="1" applyFill="1" applyBorder="1" applyAlignment="1">
      <alignment horizontal="center"/>
    </xf>
    <xf numFmtId="1" fontId="3" fillId="0" borderId="31" xfId="0" applyNumberFormat="1" applyFont="1" applyBorder="1" applyAlignment="1">
      <alignment horizontal="center"/>
    </xf>
    <xf numFmtId="166" fontId="4" fillId="0" borderId="43" xfId="1" applyNumberFormat="1" applyFont="1" applyFill="1" applyBorder="1" applyAlignment="1">
      <alignment horizontal="center"/>
    </xf>
    <xf numFmtId="166" fontId="9" fillId="9" borderId="23" xfId="1" applyNumberFormat="1" applyFont="1" applyFill="1" applyBorder="1" applyAlignment="1">
      <alignment horizontal="center"/>
    </xf>
    <xf numFmtId="166" fontId="4" fillId="0" borderId="51" xfId="1" applyNumberFormat="1" applyFont="1" applyFill="1" applyBorder="1" applyAlignment="1">
      <alignment horizontal="center"/>
    </xf>
    <xf numFmtId="166" fontId="9" fillId="6" borderId="52" xfId="1" applyNumberFormat="1" applyFont="1" applyFill="1" applyBorder="1" applyAlignment="1">
      <alignment horizontal="center"/>
    </xf>
    <xf numFmtId="166" fontId="4" fillId="5" borderId="2" xfId="1" applyNumberFormat="1" applyFont="1" applyFill="1" applyBorder="1" applyAlignment="1">
      <alignment horizontal="right"/>
    </xf>
    <xf numFmtId="166" fontId="4" fillId="5" borderId="37" xfId="1" applyNumberFormat="1" applyFont="1" applyFill="1" applyBorder="1" applyAlignment="1">
      <alignment horizontal="right"/>
    </xf>
    <xf numFmtId="166" fontId="5" fillId="3" borderId="40" xfId="1" applyNumberFormat="1" applyFont="1" applyFill="1" applyBorder="1" applyAlignment="1">
      <alignment horizontal="right"/>
    </xf>
    <xf numFmtId="166" fontId="5" fillId="3" borderId="49" xfId="1" applyNumberFormat="1" applyFont="1" applyFill="1" applyBorder="1" applyAlignment="1">
      <alignment horizontal="right"/>
    </xf>
    <xf numFmtId="164" fontId="3" fillId="0" borderId="44" xfId="0" applyNumberFormat="1" applyFont="1" applyBorder="1" applyAlignment="1">
      <alignment horizontal="center"/>
    </xf>
    <xf numFmtId="43" fontId="4" fillId="5" borderId="53" xfId="1" applyFont="1" applyFill="1" applyBorder="1" applyAlignment="1">
      <alignment horizontal="right"/>
    </xf>
    <xf numFmtId="43" fontId="4" fillId="5" borderId="44" xfId="1" applyFont="1" applyFill="1" applyBorder="1" applyAlignment="1">
      <alignment horizontal="right"/>
    </xf>
    <xf numFmtId="166" fontId="4" fillId="0" borderId="44" xfId="1" applyNumberFormat="1" applyFont="1" applyFill="1" applyBorder="1" applyAlignment="1">
      <alignment horizontal="center"/>
    </xf>
    <xf numFmtId="43" fontId="4" fillId="5" borderId="54" xfId="1" applyFont="1" applyFill="1" applyBorder="1" applyAlignment="1">
      <alignment horizontal="right"/>
    </xf>
    <xf numFmtId="166" fontId="4" fillId="0" borderId="15" xfId="1" applyNumberFormat="1" applyFont="1" applyBorder="1" applyAlignment="1">
      <alignment horizontal="right"/>
    </xf>
    <xf numFmtId="166" fontId="4" fillId="0" borderId="35" xfId="1" applyNumberFormat="1" applyFont="1" applyBorder="1" applyAlignment="1">
      <alignment horizontal="right"/>
    </xf>
    <xf numFmtId="166" fontId="5" fillId="3" borderId="39" xfId="1" applyNumberFormat="1" applyFont="1" applyFill="1" applyBorder="1" applyAlignment="1">
      <alignment horizontal="center"/>
    </xf>
    <xf numFmtId="166" fontId="4" fillId="0" borderId="1" xfId="0" applyNumberFormat="1" applyFont="1" applyBorder="1" applyAlignment="1">
      <alignment horizontal="right"/>
    </xf>
    <xf numFmtId="166" fontId="5" fillId="3" borderId="40" xfId="1" applyNumberFormat="1" applyFont="1" applyFill="1" applyBorder="1" applyAlignment="1">
      <alignment horizontal="center"/>
    </xf>
    <xf numFmtId="167" fontId="4" fillId="0" borderId="1" xfId="0" applyNumberFormat="1" applyFont="1" applyBorder="1" applyAlignment="1">
      <alignment horizontal="right"/>
    </xf>
    <xf numFmtId="167" fontId="4" fillId="0" borderId="36" xfId="0" applyNumberFormat="1" applyFont="1" applyBorder="1" applyAlignment="1">
      <alignment horizontal="right"/>
    </xf>
    <xf numFmtId="167" fontId="5" fillId="3" borderId="40" xfId="1" applyNumberFormat="1" applyFont="1" applyFill="1" applyBorder="1" applyAlignment="1">
      <alignment horizontal="center"/>
    </xf>
    <xf numFmtId="166" fontId="9" fillId="7" borderId="17" xfId="1" applyNumberFormat="1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7" borderId="33" xfId="0" applyFont="1" applyFill="1" applyBorder="1" applyAlignment="1">
      <alignment horizontal="center"/>
    </xf>
    <xf numFmtId="0" fontId="3" fillId="7" borderId="34" xfId="0" applyFont="1" applyFill="1" applyBorder="1" applyAlignment="1">
      <alignment horizontal="center"/>
    </xf>
    <xf numFmtId="0" fontId="3" fillId="4" borderId="33" xfId="0" applyFont="1" applyFill="1" applyBorder="1" applyAlignment="1">
      <alignment horizontal="center"/>
    </xf>
    <xf numFmtId="0" fontId="3" fillId="0" borderId="32" xfId="0" applyFont="1" applyBorder="1" applyAlignment="1">
      <alignment horizontal="left"/>
    </xf>
    <xf numFmtId="0" fontId="3" fillId="0" borderId="33" xfId="0" applyFont="1" applyBorder="1" applyAlignment="1">
      <alignment horizontal="left"/>
    </xf>
    <xf numFmtId="0" fontId="3" fillId="7" borderId="19" xfId="0" applyFont="1" applyFill="1" applyBorder="1" applyAlignment="1">
      <alignment horizontal="center"/>
    </xf>
    <xf numFmtId="0" fontId="3" fillId="7" borderId="20" xfId="0" applyFont="1" applyFill="1" applyBorder="1" applyAlignment="1">
      <alignment horizontal="center"/>
    </xf>
    <xf numFmtId="0" fontId="3" fillId="7" borderId="21" xfId="0" applyFont="1" applyFill="1" applyBorder="1" applyAlignment="1">
      <alignment horizontal="center"/>
    </xf>
    <xf numFmtId="0" fontId="3" fillId="0" borderId="15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3" borderId="3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10" fontId="3" fillId="3" borderId="10" xfId="0" applyNumberFormat="1" applyFont="1" applyFill="1" applyBorder="1" applyAlignment="1">
      <alignment horizontal="center" wrapText="1"/>
    </xf>
    <xf numFmtId="10" fontId="3" fillId="3" borderId="12" xfId="0" applyNumberFormat="1" applyFont="1" applyFill="1" applyBorder="1" applyAlignment="1">
      <alignment horizont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8" borderId="19" xfId="0" applyFont="1" applyFill="1" applyBorder="1" applyAlignment="1">
      <alignment horizontal="center"/>
    </xf>
    <xf numFmtId="0" fontId="3" fillId="8" borderId="21" xfId="0" applyFont="1" applyFill="1" applyBorder="1" applyAlignment="1">
      <alignment horizontal="center"/>
    </xf>
    <xf numFmtId="0" fontId="3" fillId="0" borderId="16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4" borderId="19" xfId="0" applyFont="1" applyFill="1" applyBorder="1" applyAlignment="1">
      <alignment horizontal="center"/>
    </xf>
    <xf numFmtId="0" fontId="3" fillId="4" borderId="20" xfId="0" applyFont="1" applyFill="1" applyBorder="1" applyAlignment="1">
      <alignment horizontal="center"/>
    </xf>
    <xf numFmtId="0" fontId="3" fillId="9" borderId="19" xfId="0" applyFont="1" applyFill="1" applyBorder="1" applyAlignment="1">
      <alignment horizontal="center"/>
    </xf>
    <xf numFmtId="0" fontId="3" fillId="9" borderId="20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9" borderId="9" xfId="0" applyFont="1" applyFill="1" applyBorder="1" applyAlignment="1">
      <alignment horizontal="center" vertical="center" wrapText="1"/>
    </xf>
    <xf numFmtId="0" fontId="3" fillId="9" borderId="11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wrapText="1"/>
    </xf>
    <xf numFmtId="0" fontId="3" fillId="7" borderId="4" xfId="0" applyFont="1" applyFill="1" applyBorder="1" applyAlignment="1">
      <alignment horizontal="center" wrapText="1"/>
    </xf>
    <xf numFmtId="0" fontId="3" fillId="7" borderId="10" xfId="0" applyFont="1" applyFill="1" applyBorder="1" applyAlignment="1">
      <alignment horizontal="center" wrapText="1"/>
    </xf>
    <xf numFmtId="0" fontId="3" fillId="7" borderId="12" xfId="0" applyFont="1" applyFill="1" applyBorder="1" applyAlignment="1">
      <alignment horizontal="center" wrapText="1"/>
    </xf>
    <xf numFmtId="0" fontId="3" fillId="8" borderId="10" xfId="0" applyFont="1" applyFill="1" applyBorder="1" applyAlignment="1">
      <alignment horizontal="center" wrapText="1"/>
    </xf>
    <xf numFmtId="0" fontId="3" fillId="8" borderId="12" xfId="0" applyFont="1" applyFill="1" applyBorder="1" applyAlignment="1">
      <alignment horizontal="center" wrapText="1"/>
    </xf>
    <xf numFmtId="0" fontId="3" fillId="8" borderId="9" xfId="0" applyFont="1" applyFill="1" applyBorder="1" applyAlignment="1">
      <alignment horizontal="center" wrapText="1"/>
    </xf>
    <xf numFmtId="0" fontId="3" fillId="8" borderId="11" xfId="0" applyFont="1" applyFill="1" applyBorder="1" applyAlignment="1">
      <alignment horizontal="center" wrapText="1"/>
    </xf>
    <xf numFmtId="0" fontId="3" fillId="6" borderId="30" xfId="0" applyFont="1" applyFill="1" applyBorder="1" applyAlignment="1">
      <alignment horizontal="center" wrapText="1"/>
    </xf>
    <xf numFmtId="0" fontId="3" fillId="6" borderId="51" xfId="0" applyFont="1" applyFill="1" applyBorder="1" applyAlignment="1">
      <alignment horizontal="center" wrapText="1"/>
    </xf>
    <xf numFmtId="0" fontId="3" fillId="7" borderId="9" xfId="0" applyFont="1" applyFill="1" applyBorder="1" applyAlignment="1">
      <alignment horizontal="center" wrapText="1"/>
    </xf>
    <xf numFmtId="0" fontId="3" fillId="7" borderId="11" xfId="0" applyFont="1" applyFill="1" applyBorder="1" applyAlignment="1">
      <alignment horizontal="center" wrapText="1"/>
    </xf>
    <xf numFmtId="0" fontId="5" fillId="3" borderId="19" xfId="0" applyFont="1" applyFill="1" applyBorder="1" applyAlignment="1">
      <alignment horizontal="center"/>
    </xf>
    <xf numFmtId="0" fontId="5" fillId="3" borderId="20" xfId="0" applyFont="1" applyFill="1" applyBorder="1" applyAlignment="1">
      <alignment horizontal="center"/>
    </xf>
    <xf numFmtId="0" fontId="5" fillId="3" borderId="21" xfId="0" applyFont="1" applyFill="1" applyBorder="1" applyAlignment="1">
      <alignment horizontal="center"/>
    </xf>
    <xf numFmtId="0" fontId="3" fillId="3" borderId="3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6" xfId="0" applyFont="1" applyFill="1" applyBorder="1" applyAlignment="1">
      <alignment horizontal="center" vertical="center" wrapText="1"/>
    </xf>
    <xf numFmtId="0" fontId="3" fillId="3" borderId="53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wrapText="1"/>
    </xf>
    <xf numFmtId="0" fontId="5" fillId="3" borderId="21" xfId="0" applyFont="1" applyFill="1" applyBorder="1" applyAlignment="1">
      <alignment horizontal="center" wrapText="1"/>
    </xf>
    <xf numFmtId="0" fontId="3" fillId="3" borderId="47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0" fontId="3" fillId="3" borderId="22" xfId="0" applyNumberFormat="1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 cent" xfId="2" builtinId="5"/>
  </cellStyles>
  <dxfs count="0"/>
  <tableStyles count="0" defaultTableStyle="TableStyleMedium2" defaultPivotStyle="PivotStyleLight16"/>
  <colors>
    <mruColors>
      <color rgb="FFF7FFFF"/>
      <color rgb="FFF70000"/>
      <color rgb="FFE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6D6F2-CC40-435A-AF3A-DD0018E82466}">
  <sheetPr codeName="Sheet1"/>
  <dimension ref="A1:S11"/>
  <sheetViews>
    <sheetView zoomScale="140" zoomScaleNormal="140" workbookViewId="0">
      <selection activeCell="J16" sqref="J16"/>
    </sheetView>
  </sheetViews>
  <sheetFormatPr defaultColWidth="8.5703125" defaultRowHeight="15" x14ac:dyDescent="0.25"/>
  <cols>
    <col min="1" max="1" width="0.85546875" style="1" customWidth="1"/>
    <col min="2" max="2" width="0.85546875" style="5" customWidth="1"/>
    <col min="3" max="10" width="8.5703125" style="5"/>
    <col min="11" max="11" width="9.42578125" style="5" customWidth="1"/>
    <col min="12" max="12" width="14.42578125" style="5" customWidth="1"/>
    <col min="13" max="16384" width="8.5703125" style="5"/>
  </cols>
  <sheetData>
    <row r="1" spans="3:19" s="1" customFormat="1" ht="4.5" customHeight="1" x14ac:dyDescent="0.25"/>
    <row r="2" spans="3:19" x14ac:dyDescent="0.25">
      <c r="C2" s="18"/>
      <c r="D2" s="18"/>
      <c r="E2" s="18"/>
      <c r="F2" s="18"/>
      <c r="G2" s="18"/>
      <c r="H2" s="18"/>
      <c r="I2" s="18"/>
    </row>
    <row r="3" spans="3:19" x14ac:dyDescent="0.25">
      <c r="C3" s="111" t="s">
        <v>76</v>
      </c>
      <c r="D3" s="109"/>
      <c r="E3" s="109"/>
      <c r="F3" s="109"/>
      <c r="G3" s="109"/>
      <c r="H3" s="109"/>
      <c r="I3" s="109"/>
      <c r="J3" s="109"/>
      <c r="K3" s="18"/>
      <c r="L3" s="18"/>
      <c r="M3" s="18"/>
      <c r="N3" s="18"/>
      <c r="O3" s="18"/>
      <c r="P3" s="18"/>
      <c r="Q3" s="18"/>
      <c r="R3" s="18"/>
      <c r="S3" s="18"/>
    </row>
    <row r="4" spans="3:19" x14ac:dyDescent="0.25">
      <c r="C4" s="110" t="s">
        <v>77</v>
      </c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3:19" x14ac:dyDescent="0.25">
      <c r="C5" s="110" t="s">
        <v>22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</row>
    <row r="6" spans="3:19" x14ac:dyDescent="0.25">
      <c r="C6" s="110" t="s">
        <v>42</v>
      </c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spans="3:19" x14ac:dyDescent="0.25">
      <c r="C7" s="110" t="s">
        <v>78</v>
      </c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</row>
    <row r="8" spans="3:19" x14ac:dyDescent="0.25">
      <c r="C8" s="110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</row>
    <row r="9" spans="3:19" x14ac:dyDescent="0.25">
      <c r="C9" s="110" t="s">
        <v>81</v>
      </c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</row>
    <row r="10" spans="3:19" x14ac:dyDescent="0.25">
      <c r="C10" s="110" t="s">
        <v>79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</row>
    <row r="11" spans="3:19" x14ac:dyDescent="0.25">
      <c r="C11" s="110" t="s">
        <v>80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3B9CB-BDD7-40A1-A6DB-E08BD9CE594A}">
  <sheetPr codeName="Sheet3">
    <pageSetUpPr autoPageBreaks="0"/>
  </sheetPr>
  <dimension ref="A1:AF44"/>
  <sheetViews>
    <sheetView tabSelected="1" zoomScale="90" zoomScaleNormal="90" workbookViewId="0">
      <selection activeCell="W39" sqref="W39"/>
    </sheetView>
  </sheetViews>
  <sheetFormatPr defaultColWidth="8.85546875" defaultRowHeight="15" x14ac:dyDescent="0.25"/>
  <cols>
    <col min="1" max="1" width="0.85546875" style="1" customWidth="1"/>
    <col min="2" max="2" width="0.85546875" style="5" customWidth="1"/>
    <col min="3" max="3" width="20.140625" bestFit="1" customWidth="1"/>
    <col min="4" max="4" width="9.5703125" bestFit="1" customWidth="1"/>
    <col min="5" max="5" width="8.42578125" bestFit="1" customWidth="1"/>
    <col min="6" max="6" width="9.5703125" bestFit="1" customWidth="1"/>
    <col min="7" max="7" width="8.42578125" style="4" bestFit="1" customWidth="1"/>
    <col min="8" max="8" width="12.5703125" bestFit="1" customWidth="1"/>
    <col min="9" max="9" width="11.5703125" customWidth="1"/>
    <col min="10" max="11" width="7.5703125" customWidth="1"/>
    <col min="12" max="12" width="13.42578125" customWidth="1"/>
    <col min="13" max="13" width="7.42578125" customWidth="1"/>
    <col min="14" max="14" width="14" bestFit="1" customWidth="1"/>
    <col min="15" max="15" width="12.5703125" bestFit="1" customWidth="1"/>
    <col min="16" max="16" width="10.140625" customWidth="1"/>
    <col min="17" max="17" width="10.42578125" customWidth="1"/>
    <col min="18" max="18" width="9.5703125" customWidth="1"/>
    <col min="19" max="19" width="9" bestFit="1" customWidth="1"/>
    <col min="20" max="20" width="11.42578125" bestFit="1" customWidth="1"/>
    <col min="21" max="21" width="8.7109375" customWidth="1"/>
    <col min="22" max="22" width="12.5703125" bestFit="1" customWidth="1"/>
    <col min="23" max="23" width="11.85546875" customWidth="1"/>
    <col min="24" max="24" width="10.42578125" customWidth="1"/>
    <col min="25" max="25" width="9" customWidth="1"/>
    <col min="26" max="26" width="10.42578125" customWidth="1"/>
    <col min="27" max="27" width="14.42578125" bestFit="1" customWidth="1"/>
    <col min="28" max="28" width="16.140625" bestFit="1" customWidth="1"/>
    <col min="29" max="29" width="10" bestFit="1" customWidth="1"/>
    <col min="30" max="30" width="7.5703125" customWidth="1"/>
    <col min="31" max="31" width="10.140625" bestFit="1" customWidth="1"/>
  </cols>
  <sheetData>
    <row r="1" spans="1:32" s="1" customFormat="1" ht="4.5" customHeight="1" x14ac:dyDescent="0.25">
      <c r="G1" s="7"/>
    </row>
    <row r="2" spans="1:32" ht="14.45" customHeight="1" thickBot="1" x14ac:dyDescent="0.3">
      <c r="C2" s="46"/>
      <c r="D2" s="46"/>
      <c r="E2" s="46"/>
      <c r="F2" s="46"/>
      <c r="G2" s="47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</row>
    <row r="3" spans="1:32" ht="14.45" customHeight="1" x14ac:dyDescent="0.25">
      <c r="C3" s="159" t="s">
        <v>17</v>
      </c>
      <c r="D3" s="160"/>
      <c r="E3" s="160"/>
      <c r="F3" s="160"/>
      <c r="G3" s="160"/>
      <c r="H3" s="48">
        <v>46023</v>
      </c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</row>
    <row r="4" spans="1:32" ht="14.45" customHeight="1" x14ac:dyDescent="0.25">
      <c r="C4" s="164" t="s">
        <v>18</v>
      </c>
      <c r="D4" s="165"/>
      <c r="E4" s="165"/>
      <c r="F4" s="165"/>
      <c r="G4" s="165"/>
      <c r="H4" s="49">
        <v>4000000</v>
      </c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</row>
    <row r="5" spans="1:32" ht="14.45" customHeight="1" x14ac:dyDescent="0.25">
      <c r="C5" s="164" t="s">
        <v>29</v>
      </c>
      <c r="D5" s="165"/>
      <c r="E5" s="165"/>
      <c r="F5" s="165"/>
      <c r="G5" s="165"/>
      <c r="H5" s="50">
        <v>0.1</v>
      </c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</row>
    <row r="6" spans="1:32" ht="14.45" customHeight="1" x14ac:dyDescent="0.25">
      <c r="C6" s="164" t="s">
        <v>21</v>
      </c>
      <c r="D6" s="165"/>
      <c r="E6" s="165"/>
      <c r="F6" s="165"/>
      <c r="G6" s="165"/>
      <c r="H6" s="51">
        <f>AA33</f>
        <v>1000000</v>
      </c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</row>
    <row r="7" spans="1:32" ht="14.45" customHeight="1" x14ac:dyDescent="0.25">
      <c r="C7" s="164" t="s">
        <v>19</v>
      </c>
      <c r="D7" s="165"/>
      <c r="E7" s="165"/>
      <c r="F7" s="165"/>
      <c r="G7" s="165"/>
      <c r="H7" s="51">
        <f>H4+H6</f>
        <v>5000000</v>
      </c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</row>
    <row r="8" spans="1:32" ht="14.45" customHeight="1" x14ac:dyDescent="0.25">
      <c r="C8" s="164" t="s">
        <v>44</v>
      </c>
      <c r="D8" s="165"/>
      <c r="E8" s="165"/>
      <c r="F8" s="165"/>
      <c r="G8" s="165"/>
      <c r="H8" s="120">
        <f>F33</f>
        <v>277778</v>
      </c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</row>
    <row r="9" spans="1:32" ht="14.45" customHeight="1" x14ac:dyDescent="0.25">
      <c r="C9" s="164" t="s">
        <v>28</v>
      </c>
      <c r="D9" s="165"/>
      <c r="E9" s="165"/>
      <c r="F9" s="165"/>
      <c r="G9" s="165"/>
      <c r="H9" s="126">
        <f ca="1">IFERROR(ROUND(H5*H7/H11-F31,0),0)</f>
        <v>37194</v>
      </c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</row>
    <row r="10" spans="1:32" ht="14.45" customHeight="1" x14ac:dyDescent="0.25">
      <c r="C10" s="164" t="s">
        <v>73</v>
      </c>
      <c r="D10" s="165"/>
      <c r="E10" s="165"/>
      <c r="F10" s="165"/>
      <c r="G10" s="165"/>
      <c r="H10" s="126">
        <f ca="1">F33+R33+Y33+Z33</f>
        <v>442175</v>
      </c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</row>
    <row r="11" spans="1:32" ht="14.45" customHeight="1" thickBot="1" x14ac:dyDescent="0.3">
      <c r="C11" s="176" t="s">
        <v>20</v>
      </c>
      <c r="D11" s="177"/>
      <c r="E11" s="177"/>
      <c r="F11" s="177"/>
      <c r="G11" s="177"/>
      <c r="H11" s="52">
        <f ca="1">ROUND(H4/H10,2)</f>
        <v>9.0500000000000007</v>
      </c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</row>
    <row r="12" spans="1:32" ht="14.45" customHeight="1" x14ac:dyDescent="0.25"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</row>
    <row r="13" spans="1:32" ht="14.45" customHeight="1" thickBot="1" x14ac:dyDescent="0.3">
      <c r="C13" s="46"/>
      <c r="D13" s="46"/>
      <c r="E13" s="46"/>
      <c r="F13" s="46"/>
      <c r="G13" s="47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</row>
    <row r="14" spans="1:32" x14ac:dyDescent="0.25">
      <c r="C14" s="178" t="s">
        <v>0</v>
      </c>
      <c r="D14" s="179"/>
      <c r="E14" s="179"/>
      <c r="F14" s="179"/>
      <c r="G14" s="180"/>
      <c r="H14" s="181" t="s">
        <v>68</v>
      </c>
      <c r="I14" s="182"/>
      <c r="J14" s="182"/>
      <c r="K14" s="182"/>
      <c r="L14" s="182"/>
      <c r="M14" s="182"/>
      <c r="N14" s="182"/>
      <c r="O14" s="182"/>
      <c r="P14" s="182"/>
      <c r="Q14" s="182"/>
      <c r="R14" s="182"/>
      <c r="S14" s="182"/>
      <c r="T14" s="183" t="s">
        <v>69</v>
      </c>
      <c r="U14" s="184"/>
      <c r="V14" s="184"/>
      <c r="W14" s="184"/>
      <c r="X14" s="184"/>
      <c r="Y14" s="184"/>
      <c r="Z14" s="53" t="s">
        <v>13</v>
      </c>
      <c r="AA14" s="161" t="s">
        <v>13</v>
      </c>
      <c r="AB14" s="162"/>
      <c r="AC14" s="162"/>
      <c r="AD14" s="163"/>
      <c r="AE14" s="174" t="s">
        <v>25</v>
      </c>
      <c r="AF14" s="175"/>
    </row>
    <row r="15" spans="1:32" s="2" customFormat="1" ht="14.45" customHeight="1" x14ac:dyDescent="0.25">
      <c r="A15" s="3"/>
      <c r="B15" s="6"/>
      <c r="C15" s="154" t="s">
        <v>1</v>
      </c>
      <c r="D15" s="166" t="s">
        <v>54</v>
      </c>
      <c r="E15" s="166" t="s">
        <v>55</v>
      </c>
      <c r="F15" s="166" t="s">
        <v>56</v>
      </c>
      <c r="G15" s="168" t="s">
        <v>57</v>
      </c>
      <c r="H15" s="170" t="s">
        <v>58</v>
      </c>
      <c r="I15" s="172" t="s">
        <v>10</v>
      </c>
      <c r="J15" s="172" t="s">
        <v>59</v>
      </c>
      <c r="K15" s="172" t="s">
        <v>11</v>
      </c>
      <c r="L15" s="172" t="s">
        <v>60</v>
      </c>
      <c r="M15" s="172" t="s">
        <v>12</v>
      </c>
      <c r="N15" s="172" t="s">
        <v>61</v>
      </c>
      <c r="O15" s="172" t="s">
        <v>62</v>
      </c>
      <c r="P15" s="172" t="s">
        <v>63</v>
      </c>
      <c r="Q15" s="172" t="s">
        <v>64</v>
      </c>
      <c r="R15" s="172" t="s">
        <v>65</v>
      </c>
      <c r="S15" s="185" t="s">
        <v>66</v>
      </c>
      <c r="T15" s="187" t="s">
        <v>24</v>
      </c>
      <c r="U15" s="189" t="s">
        <v>11</v>
      </c>
      <c r="V15" s="189" t="s">
        <v>60</v>
      </c>
      <c r="W15" s="189" t="s">
        <v>67</v>
      </c>
      <c r="X15" s="189" t="s">
        <v>64</v>
      </c>
      <c r="Y15" s="189" t="s">
        <v>65</v>
      </c>
      <c r="Z15" s="199" t="s">
        <v>50</v>
      </c>
      <c r="AA15" s="201" t="s">
        <v>70</v>
      </c>
      <c r="AB15" s="191" t="s">
        <v>71</v>
      </c>
      <c r="AC15" s="191" t="s">
        <v>72</v>
      </c>
      <c r="AD15" s="193" t="s">
        <v>66</v>
      </c>
      <c r="AE15" s="197" t="s">
        <v>6</v>
      </c>
      <c r="AF15" s="195" t="s">
        <v>51</v>
      </c>
    </row>
    <row r="16" spans="1:32" s="2" customFormat="1" ht="14.45" customHeight="1" x14ac:dyDescent="0.25">
      <c r="A16" s="3"/>
      <c r="B16" s="6"/>
      <c r="C16" s="155"/>
      <c r="D16" s="167"/>
      <c r="E16" s="167"/>
      <c r="F16" s="167"/>
      <c r="G16" s="169"/>
      <c r="H16" s="171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86"/>
      <c r="T16" s="188"/>
      <c r="U16" s="190"/>
      <c r="V16" s="190"/>
      <c r="W16" s="190"/>
      <c r="X16" s="190"/>
      <c r="Y16" s="190"/>
      <c r="Z16" s="200"/>
      <c r="AA16" s="202"/>
      <c r="AB16" s="192"/>
      <c r="AC16" s="192"/>
      <c r="AD16" s="194"/>
      <c r="AE16" s="198"/>
      <c r="AF16" s="196"/>
    </row>
    <row r="17" spans="3:32" x14ac:dyDescent="0.25">
      <c r="C17" s="54" t="s">
        <v>2</v>
      </c>
      <c r="D17" s="112">
        <v>100000</v>
      </c>
      <c r="E17" s="55"/>
      <c r="F17" s="117">
        <f>SUM(D17:E17)</f>
        <v>100000</v>
      </c>
      <c r="G17" s="56">
        <f t="shared" ref="G17:G23" si="0">IFERROR(F17/$F$33,0)</f>
        <v>0.3599997120002304</v>
      </c>
      <c r="H17" s="57"/>
      <c r="I17" s="58"/>
      <c r="J17" s="59"/>
      <c r="K17" s="59"/>
      <c r="L17" s="60"/>
      <c r="M17" s="61"/>
      <c r="N17" s="29"/>
      <c r="O17" s="29"/>
      <c r="P17" s="61"/>
      <c r="Q17" s="61"/>
      <c r="R17" s="61"/>
      <c r="S17" s="62"/>
      <c r="T17" s="63"/>
      <c r="U17" s="64"/>
      <c r="V17" s="65"/>
      <c r="W17" s="66"/>
      <c r="X17" s="66"/>
      <c r="Y17" s="67"/>
      <c r="Z17" s="131"/>
      <c r="AA17" s="57"/>
      <c r="AB17" s="29"/>
      <c r="AC17" s="61"/>
      <c r="AD17" s="68"/>
      <c r="AE17" s="129">
        <f t="shared" ref="AE17:AE31" si="1">F17+R17+Y17+AC17</f>
        <v>100000</v>
      </c>
      <c r="AF17" s="68">
        <f t="shared" ref="AF17:AF28" ca="1" si="2">AE17/$AE$33</f>
        <v>0.18093881915707841</v>
      </c>
    </row>
    <row r="18" spans="3:32" x14ac:dyDescent="0.25">
      <c r="C18" s="69" t="s">
        <v>3</v>
      </c>
      <c r="D18" s="112">
        <v>65000</v>
      </c>
      <c r="E18" s="55"/>
      <c r="F18" s="117">
        <f t="shared" ref="F18:F31" si="3">SUM(D18:E18)</f>
        <v>65000</v>
      </c>
      <c r="G18" s="56">
        <f t="shared" si="0"/>
        <v>0.23399981280014975</v>
      </c>
      <c r="H18" s="57"/>
      <c r="I18" s="58"/>
      <c r="J18" s="59"/>
      <c r="K18" s="59"/>
      <c r="L18" s="60"/>
      <c r="M18" s="61"/>
      <c r="N18" s="29"/>
      <c r="O18" s="29"/>
      <c r="P18" s="61"/>
      <c r="Q18" s="61"/>
      <c r="R18" s="61"/>
      <c r="S18" s="62"/>
      <c r="T18" s="57"/>
      <c r="U18" s="59"/>
      <c r="V18" s="60"/>
      <c r="W18" s="70"/>
      <c r="X18" s="70"/>
      <c r="Y18" s="71"/>
      <c r="Z18" s="131"/>
      <c r="AA18" s="57"/>
      <c r="AB18" s="29"/>
      <c r="AC18" s="61"/>
      <c r="AD18" s="68"/>
      <c r="AE18" s="129">
        <f t="shared" si="1"/>
        <v>65000</v>
      </c>
      <c r="AF18" s="68">
        <f t="shared" ca="1" si="2"/>
        <v>0.11761023245210098</v>
      </c>
    </row>
    <row r="19" spans="3:32" x14ac:dyDescent="0.25">
      <c r="C19" s="69" t="s">
        <v>4</v>
      </c>
      <c r="D19" s="112">
        <v>65000</v>
      </c>
      <c r="E19" s="55"/>
      <c r="F19" s="117">
        <f t="shared" si="3"/>
        <v>65000</v>
      </c>
      <c r="G19" s="56">
        <f t="shared" si="0"/>
        <v>0.23399981280014975</v>
      </c>
      <c r="H19" s="57"/>
      <c r="I19" s="58"/>
      <c r="J19" s="59"/>
      <c r="K19" s="59"/>
      <c r="L19" s="60"/>
      <c r="M19" s="61"/>
      <c r="N19" s="29"/>
      <c r="O19" s="29"/>
      <c r="P19" s="61"/>
      <c r="Q19" s="61"/>
      <c r="R19" s="61"/>
      <c r="S19" s="62"/>
      <c r="T19" s="57"/>
      <c r="U19" s="59"/>
      <c r="V19" s="60"/>
      <c r="W19" s="70"/>
      <c r="X19" s="70"/>
      <c r="Y19" s="71"/>
      <c r="Z19" s="131"/>
      <c r="AA19" s="57"/>
      <c r="AB19" s="29"/>
      <c r="AC19" s="61"/>
      <c r="AD19" s="68"/>
      <c r="AE19" s="129">
        <f t="shared" si="1"/>
        <v>65000</v>
      </c>
      <c r="AF19" s="68">
        <f t="shared" ca="1" si="2"/>
        <v>0.11761023245210098</v>
      </c>
    </row>
    <row r="20" spans="3:32" x14ac:dyDescent="0.25">
      <c r="C20" s="69" t="s">
        <v>5</v>
      </c>
      <c r="D20" s="112">
        <v>20000</v>
      </c>
      <c r="E20" s="112"/>
      <c r="F20" s="117">
        <f t="shared" si="3"/>
        <v>20000</v>
      </c>
      <c r="G20" s="56">
        <f t="shared" si="0"/>
        <v>7.1999942400046077E-2</v>
      </c>
      <c r="H20" s="57"/>
      <c r="I20" s="58"/>
      <c r="J20" s="59"/>
      <c r="K20" s="59"/>
      <c r="L20" s="60"/>
      <c r="M20" s="61"/>
      <c r="N20" s="29"/>
      <c r="O20" s="29"/>
      <c r="P20" s="61"/>
      <c r="Q20" s="61"/>
      <c r="R20" s="61"/>
      <c r="S20" s="62"/>
      <c r="T20" s="57"/>
      <c r="U20" s="59"/>
      <c r="V20" s="60"/>
      <c r="W20" s="70"/>
      <c r="X20" s="70"/>
      <c r="Y20" s="71"/>
      <c r="Z20" s="131"/>
      <c r="AA20" s="57"/>
      <c r="AB20" s="29"/>
      <c r="AC20" s="61"/>
      <c r="AD20" s="68"/>
      <c r="AE20" s="129">
        <f t="shared" si="1"/>
        <v>20000</v>
      </c>
      <c r="AF20" s="68">
        <f t="shared" ca="1" si="2"/>
        <v>3.6187763831415684E-2</v>
      </c>
    </row>
    <row r="21" spans="3:32" x14ac:dyDescent="0.25">
      <c r="C21" s="69" t="s">
        <v>7</v>
      </c>
      <c r="D21" s="113"/>
      <c r="E21" s="112">
        <v>5556</v>
      </c>
      <c r="F21" s="118">
        <f t="shared" si="3"/>
        <v>5556</v>
      </c>
      <c r="G21" s="56">
        <f t="shared" si="0"/>
        <v>2.0001583998732801E-2</v>
      </c>
      <c r="H21" s="57"/>
      <c r="I21" s="58"/>
      <c r="J21" s="59"/>
      <c r="K21" s="59"/>
      <c r="L21" s="60"/>
      <c r="M21" s="61"/>
      <c r="N21" s="29"/>
      <c r="O21" s="29"/>
      <c r="P21" s="61"/>
      <c r="Q21" s="61"/>
      <c r="R21" s="61"/>
      <c r="S21" s="62"/>
      <c r="T21" s="57"/>
      <c r="U21" s="59"/>
      <c r="V21" s="60"/>
      <c r="W21" s="70"/>
      <c r="X21" s="70"/>
      <c r="Y21" s="71"/>
      <c r="Z21" s="131"/>
      <c r="AA21" s="57"/>
      <c r="AB21" s="29"/>
      <c r="AC21" s="61"/>
      <c r="AD21" s="68"/>
      <c r="AE21" s="129">
        <f t="shared" si="1"/>
        <v>5556</v>
      </c>
      <c r="AF21" s="68">
        <f t="shared" ca="1" si="2"/>
        <v>1.0052960792367277E-2</v>
      </c>
    </row>
    <row r="22" spans="3:32" x14ac:dyDescent="0.25">
      <c r="C22" s="69" t="s">
        <v>8</v>
      </c>
      <c r="D22" s="113"/>
      <c r="E22" s="112">
        <v>2778</v>
      </c>
      <c r="F22" s="118">
        <f t="shared" si="3"/>
        <v>2778</v>
      </c>
      <c r="G22" s="56">
        <f t="shared" si="0"/>
        <v>1.0000791999366401E-2</v>
      </c>
      <c r="H22" s="57"/>
      <c r="I22" s="58"/>
      <c r="J22" s="59"/>
      <c r="K22" s="59"/>
      <c r="L22" s="60"/>
      <c r="M22" s="61"/>
      <c r="N22" s="29"/>
      <c r="O22" s="29"/>
      <c r="P22" s="61"/>
      <c r="Q22" s="61"/>
      <c r="R22" s="61"/>
      <c r="S22" s="62"/>
      <c r="T22" s="57"/>
      <c r="U22" s="59"/>
      <c r="V22" s="60"/>
      <c r="W22" s="70"/>
      <c r="X22" s="70"/>
      <c r="Y22" s="71"/>
      <c r="Z22" s="131"/>
      <c r="AA22" s="57"/>
      <c r="AB22" s="29"/>
      <c r="AC22" s="61"/>
      <c r="AD22" s="68"/>
      <c r="AE22" s="129">
        <f t="shared" si="1"/>
        <v>2778</v>
      </c>
      <c r="AF22" s="68">
        <f t="shared" ca="1" si="2"/>
        <v>5.0264803961836387E-3</v>
      </c>
    </row>
    <row r="23" spans="3:32" x14ac:dyDescent="0.25">
      <c r="C23" s="69" t="s">
        <v>9</v>
      </c>
      <c r="D23" s="113"/>
      <c r="E23" s="112">
        <v>1389</v>
      </c>
      <c r="F23" s="118">
        <f t="shared" si="3"/>
        <v>1389</v>
      </c>
      <c r="G23" s="56">
        <f t="shared" si="0"/>
        <v>5.0003959996832003E-3</v>
      </c>
      <c r="H23" s="57"/>
      <c r="I23" s="58"/>
      <c r="J23" s="59"/>
      <c r="K23" s="59"/>
      <c r="L23" s="60"/>
      <c r="M23" s="61"/>
      <c r="N23" s="29"/>
      <c r="O23" s="29"/>
      <c r="P23" s="61"/>
      <c r="Q23" s="61"/>
      <c r="R23" s="61"/>
      <c r="S23" s="62"/>
      <c r="T23" s="57"/>
      <c r="U23" s="59"/>
      <c r="V23" s="60"/>
      <c r="W23" s="70"/>
      <c r="X23" s="70"/>
      <c r="Y23" s="71"/>
      <c r="Z23" s="131"/>
      <c r="AA23" s="57"/>
      <c r="AB23" s="29"/>
      <c r="AC23" s="61"/>
      <c r="AD23" s="68"/>
      <c r="AE23" s="129">
        <f t="shared" si="1"/>
        <v>1389</v>
      </c>
      <c r="AF23" s="68">
        <f t="shared" ca="1" si="2"/>
        <v>2.5132401980918193E-3</v>
      </c>
    </row>
    <row r="24" spans="3:32" x14ac:dyDescent="0.25">
      <c r="C24" s="69" t="s">
        <v>14</v>
      </c>
      <c r="D24" s="114"/>
      <c r="E24" s="113"/>
      <c r="F24" s="118"/>
      <c r="G24" s="56"/>
      <c r="H24" s="57">
        <v>250000</v>
      </c>
      <c r="I24" s="58">
        <v>43891</v>
      </c>
      <c r="J24" s="59">
        <v>0.05</v>
      </c>
      <c r="K24" s="59">
        <v>0.15</v>
      </c>
      <c r="L24" s="60">
        <v>3000000</v>
      </c>
      <c r="M24" s="61">
        <f>$H$3-I24</f>
        <v>2132</v>
      </c>
      <c r="N24" s="29">
        <f>H24*(J24*M24/365)</f>
        <v>73013.698630136991</v>
      </c>
      <c r="O24" s="29">
        <f t="shared" ref="O24:O26" si="4">H24+N24</f>
        <v>323013.69863013702</v>
      </c>
      <c r="P24" s="29">
        <f ca="1">(1-K24)*$H$11</f>
        <v>7.6925000000000008</v>
      </c>
      <c r="Q24" s="29">
        <f>L24/$H$8</f>
        <v>10.799991360006912</v>
      </c>
      <c r="R24" s="117">
        <f ca="1">ROUND(IFERROR(O24/MIN($H$11,P24,Q24),0),0)</f>
        <v>41991</v>
      </c>
      <c r="S24" s="62">
        <f ca="1">IFERROR(R24/$R$33,0)</f>
        <v>0.49985715306049566</v>
      </c>
      <c r="T24" s="57"/>
      <c r="U24" s="59"/>
      <c r="V24" s="60"/>
      <c r="W24" s="70"/>
      <c r="X24" s="70"/>
      <c r="Y24" s="71"/>
      <c r="Z24" s="131"/>
      <c r="AA24" s="57"/>
      <c r="AB24" s="29"/>
      <c r="AC24" s="61"/>
      <c r="AD24" s="68"/>
      <c r="AE24" s="129">
        <f t="shared" ca="1" si="1"/>
        <v>41991</v>
      </c>
      <c r="AF24" s="68">
        <f t="shared" ca="1" si="2"/>
        <v>7.5978019552248796E-2</v>
      </c>
    </row>
    <row r="25" spans="3:32" x14ac:dyDescent="0.25">
      <c r="C25" s="69" t="s">
        <v>15</v>
      </c>
      <c r="D25" s="114"/>
      <c r="E25" s="72"/>
      <c r="F25" s="118"/>
      <c r="G25" s="56"/>
      <c r="H25" s="57">
        <v>150000</v>
      </c>
      <c r="I25" s="58">
        <v>43876</v>
      </c>
      <c r="J25" s="59">
        <v>0.05</v>
      </c>
      <c r="K25" s="59">
        <v>0.15</v>
      </c>
      <c r="L25" s="60">
        <v>3000000</v>
      </c>
      <c r="M25" s="61">
        <f t="shared" ref="M25:M26" si="5">$H$3-I25</f>
        <v>2147</v>
      </c>
      <c r="N25" s="29">
        <f t="shared" ref="N25:N26" si="6">H25*(J25*M25/365)</f>
        <v>44116.438356164384</v>
      </c>
      <c r="O25" s="29">
        <f t="shared" si="4"/>
        <v>194116.43835616438</v>
      </c>
      <c r="P25" s="29">
        <f t="shared" ref="P25:P26" ca="1" si="7">(1-K25)*$H$11</f>
        <v>7.6925000000000008</v>
      </c>
      <c r="Q25" s="29">
        <f t="shared" ref="Q25:Q26" si="8">L25/$H$8</f>
        <v>10.799991360006912</v>
      </c>
      <c r="R25" s="117">
        <f ca="1">ROUND(IFERROR(O25/MIN($H$11,P25,Q25),0),0)</f>
        <v>25235</v>
      </c>
      <c r="S25" s="62">
        <f ca="1">IFERROR(R25/$R$33,0)</f>
        <v>0.30039520986596197</v>
      </c>
      <c r="T25" s="57"/>
      <c r="U25" s="59"/>
      <c r="V25" s="60"/>
      <c r="W25" s="70"/>
      <c r="X25" s="70"/>
      <c r="Y25" s="71"/>
      <c r="Z25" s="131"/>
      <c r="AA25" s="57"/>
      <c r="AB25" s="29"/>
      <c r="AC25" s="61"/>
      <c r="AD25" s="68"/>
      <c r="AE25" s="129">
        <f t="shared" ca="1" si="1"/>
        <v>25235</v>
      </c>
      <c r="AF25" s="68">
        <f t="shared" ca="1" si="2"/>
        <v>4.5659911014288741E-2</v>
      </c>
    </row>
    <row r="26" spans="3:32" x14ac:dyDescent="0.25">
      <c r="C26" s="69" t="s">
        <v>16</v>
      </c>
      <c r="D26" s="114"/>
      <c r="E26" s="72"/>
      <c r="F26" s="118"/>
      <c r="G26" s="56"/>
      <c r="H26" s="57">
        <v>100000</v>
      </c>
      <c r="I26" s="58">
        <v>43900</v>
      </c>
      <c r="J26" s="59">
        <v>0.05</v>
      </c>
      <c r="K26" s="59">
        <v>0.15</v>
      </c>
      <c r="L26" s="60">
        <v>3000000</v>
      </c>
      <c r="M26" s="61">
        <f t="shared" si="5"/>
        <v>2123</v>
      </c>
      <c r="N26" s="29">
        <f t="shared" si="6"/>
        <v>29082.191780821919</v>
      </c>
      <c r="O26" s="29">
        <f t="shared" si="4"/>
        <v>129082.19178082192</v>
      </c>
      <c r="P26" s="29">
        <f t="shared" ca="1" si="7"/>
        <v>7.6925000000000008</v>
      </c>
      <c r="Q26" s="29">
        <f t="shared" si="8"/>
        <v>10.799991360006912</v>
      </c>
      <c r="R26" s="117">
        <f ca="1">ROUND(IFERROR(O26/MIN($H$11,P26,Q26),0),0)</f>
        <v>16780</v>
      </c>
      <c r="S26" s="62">
        <f ca="1">IFERROR(R26/$R$33,0)</f>
        <v>0.19974763707354237</v>
      </c>
      <c r="T26" s="57"/>
      <c r="U26" s="59"/>
      <c r="V26" s="60"/>
      <c r="W26" s="70"/>
      <c r="X26" s="70"/>
      <c r="Y26" s="71"/>
      <c r="Z26" s="131"/>
      <c r="AA26" s="57"/>
      <c r="AB26" s="29"/>
      <c r="AC26" s="61"/>
      <c r="AD26" s="68"/>
      <c r="AE26" s="129">
        <f ca="1">F26+R26++Y26+AC26</f>
        <v>16780</v>
      </c>
      <c r="AF26" s="68">
        <f t="shared" ca="1" si="2"/>
        <v>3.0361533854557757E-2</v>
      </c>
    </row>
    <row r="27" spans="3:32" x14ac:dyDescent="0.25">
      <c r="C27" s="69" t="s">
        <v>74</v>
      </c>
      <c r="D27" s="114"/>
      <c r="E27" s="72"/>
      <c r="F27" s="118"/>
      <c r="G27" s="56"/>
      <c r="H27" s="57"/>
      <c r="I27" s="58"/>
      <c r="J27" s="59"/>
      <c r="K27" s="59"/>
      <c r="L27" s="60"/>
      <c r="M27" s="61"/>
      <c r="N27" s="29"/>
      <c r="O27" s="29"/>
      <c r="P27" s="29"/>
      <c r="Q27" s="29"/>
      <c r="R27" s="118"/>
      <c r="S27" s="62"/>
      <c r="T27" s="57">
        <v>150000</v>
      </c>
      <c r="U27" s="59">
        <v>0.1</v>
      </c>
      <c r="V27" s="60">
        <v>2500000</v>
      </c>
      <c r="W27" s="70">
        <f ca="1">(1-U27)*$H$11</f>
        <v>8.1450000000000014</v>
      </c>
      <c r="X27" s="70">
        <f ca="1">V27/($H$8+H9)</f>
        <v>7.9372134665938558</v>
      </c>
      <c r="Y27" s="132">
        <f ca="1">ROUND(IFERROR(T27/MIN(W27,X27,$H$11),0),0)</f>
        <v>18898</v>
      </c>
      <c r="Z27" s="131"/>
      <c r="AA27" s="57"/>
      <c r="AB27" s="29"/>
      <c r="AC27" s="61"/>
      <c r="AD27" s="68"/>
      <c r="AE27" s="129">
        <f ca="1">F27+R27++Y27+AC27</f>
        <v>18898</v>
      </c>
      <c r="AF27" s="68">
        <f t="shared" ca="1" si="2"/>
        <v>3.4193818044304679E-2</v>
      </c>
    </row>
    <row r="28" spans="3:32" x14ac:dyDescent="0.25">
      <c r="C28" s="69" t="s">
        <v>75</v>
      </c>
      <c r="D28" s="114"/>
      <c r="E28" s="72"/>
      <c r="F28" s="118"/>
      <c r="G28" s="56"/>
      <c r="H28" s="57"/>
      <c r="I28" s="58"/>
      <c r="J28" s="59"/>
      <c r="K28" s="59"/>
      <c r="L28" s="60"/>
      <c r="M28" s="61"/>
      <c r="N28" s="29"/>
      <c r="O28" s="29"/>
      <c r="P28" s="29"/>
      <c r="Q28" s="29"/>
      <c r="R28" s="127"/>
      <c r="S28" s="62"/>
      <c r="T28" s="57">
        <v>150000</v>
      </c>
      <c r="U28" s="59">
        <v>0.1</v>
      </c>
      <c r="V28" s="60">
        <v>2500000</v>
      </c>
      <c r="W28" s="70">
        <f ca="1">(1-U28)*$H$11</f>
        <v>8.1450000000000014</v>
      </c>
      <c r="X28" s="70">
        <f ca="1">V28/($H$8+$R$33+Y33)</f>
        <v>6.1731291097607048</v>
      </c>
      <c r="Y28" s="132">
        <f ca="1">ROUND(IFERROR(T28/MIN(W28,X28,$H$11),0),0)</f>
        <v>24299</v>
      </c>
      <c r="Z28" s="131"/>
      <c r="AA28" s="57"/>
      <c r="AB28" s="29"/>
      <c r="AC28" s="117"/>
      <c r="AD28" s="68"/>
      <c r="AE28" s="129">
        <f ca="1">F28+R28++Y28+AC28</f>
        <v>24299</v>
      </c>
      <c r="AF28" s="68">
        <f t="shared" ca="1" si="2"/>
        <v>4.3966323666978488E-2</v>
      </c>
    </row>
    <row r="29" spans="3:32" x14ac:dyDescent="0.25">
      <c r="C29" s="69" t="s">
        <v>26</v>
      </c>
      <c r="D29" s="114"/>
      <c r="E29" s="72"/>
      <c r="F29" s="118"/>
      <c r="G29" s="56"/>
      <c r="H29" s="57"/>
      <c r="I29" s="58"/>
      <c r="J29" s="59"/>
      <c r="K29" s="59"/>
      <c r="L29" s="60"/>
      <c r="M29" s="61"/>
      <c r="N29" s="29"/>
      <c r="O29" s="29"/>
      <c r="P29" s="61"/>
      <c r="Q29" s="61"/>
      <c r="R29" s="61"/>
      <c r="S29" s="62"/>
      <c r="T29" s="57"/>
      <c r="U29" s="59"/>
      <c r="V29" s="60"/>
      <c r="W29" s="70"/>
      <c r="X29" s="70"/>
      <c r="Y29" s="132"/>
      <c r="Z29" s="131"/>
      <c r="AA29" s="57">
        <v>500000</v>
      </c>
      <c r="AB29" s="29">
        <f ca="1">ROUND(AC29*$H$11,2)</f>
        <v>500003.45</v>
      </c>
      <c r="AC29" s="117">
        <f ca="1">IFERROR(ROUND(AA29/$H$11,0),0)</f>
        <v>55249</v>
      </c>
      <c r="AD29" s="68">
        <f ca="1">IFERROR(AC29/$AC$33,0)</f>
        <v>0.5</v>
      </c>
      <c r="AE29" s="129">
        <f t="shared" ca="1" si="1"/>
        <v>55249</v>
      </c>
      <c r="AF29" s="68">
        <f ca="1">AE29/$AE$33</f>
        <v>9.9966888196094256E-2</v>
      </c>
    </row>
    <row r="30" spans="3:32" x14ac:dyDescent="0.25">
      <c r="C30" s="69" t="s">
        <v>27</v>
      </c>
      <c r="D30" s="114"/>
      <c r="E30" s="72"/>
      <c r="F30" s="118"/>
      <c r="G30" s="56"/>
      <c r="H30" s="57"/>
      <c r="I30" s="58"/>
      <c r="J30" s="59"/>
      <c r="K30" s="59"/>
      <c r="L30" s="60"/>
      <c r="M30" s="61"/>
      <c r="N30" s="29"/>
      <c r="O30" s="29"/>
      <c r="P30" s="61"/>
      <c r="Q30" s="61"/>
      <c r="R30" s="61"/>
      <c r="S30" s="62"/>
      <c r="T30" s="57"/>
      <c r="U30" s="59"/>
      <c r="V30" s="60"/>
      <c r="W30" s="70"/>
      <c r="X30" s="70"/>
      <c r="Y30" s="71"/>
      <c r="Z30" s="131"/>
      <c r="AA30" s="57">
        <v>500000</v>
      </c>
      <c r="AB30" s="29">
        <f ca="1">ROUND(AC30*$H$11,2)</f>
        <v>500003.45</v>
      </c>
      <c r="AC30" s="117">
        <f ca="1">IFERROR(ROUND(AA30/$H$11,0),0)</f>
        <v>55249</v>
      </c>
      <c r="AD30" s="68">
        <f ca="1">IFERROR(AC30/$AC$33,0)</f>
        <v>0.5</v>
      </c>
      <c r="AE30" s="129">
        <f t="shared" ca="1" si="1"/>
        <v>55249</v>
      </c>
      <c r="AF30" s="68">
        <f ca="1">AE30/$AE$33</f>
        <v>9.9966888196094256E-2</v>
      </c>
    </row>
    <row r="31" spans="3:32" x14ac:dyDescent="0.25">
      <c r="C31" s="73" t="s">
        <v>49</v>
      </c>
      <c r="D31" s="114"/>
      <c r="E31" s="72">
        <v>18055</v>
      </c>
      <c r="F31" s="118">
        <f t="shared" si="3"/>
        <v>18055</v>
      </c>
      <c r="G31" s="56">
        <f>IFERROR(F31/$F$33,0)</f>
        <v>6.4997948001641603E-2</v>
      </c>
      <c r="H31" s="57"/>
      <c r="I31" s="58"/>
      <c r="J31" s="59"/>
      <c r="K31" s="59"/>
      <c r="L31" s="60"/>
      <c r="M31" s="61"/>
      <c r="N31" s="29"/>
      <c r="O31" s="29"/>
      <c r="P31" s="61"/>
      <c r="Q31" s="61"/>
      <c r="R31" s="61"/>
      <c r="S31" s="62"/>
      <c r="T31" s="57"/>
      <c r="U31" s="59"/>
      <c r="V31" s="60"/>
      <c r="W31" s="70"/>
      <c r="X31" s="70"/>
      <c r="Y31" s="71"/>
      <c r="Z31" s="131"/>
      <c r="AA31" s="57"/>
      <c r="AB31" s="29"/>
      <c r="AC31" s="117"/>
      <c r="AD31" s="68"/>
      <c r="AE31" s="129">
        <f t="shared" si="1"/>
        <v>18055</v>
      </c>
      <c r="AF31" s="68">
        <f ca="1">AE31/$AE$33</f>
        <v>3.2668503798810505E-2</v>
      </c>
    </row>
    <row r="32" spans="3:32" x14ac:dyDescent="0.25">
      <c r="C32" s="74" t="s">
        <v>50</v>
      </c>
      <c r="D32" s="115"/>
      <c r="E32" s="75"/>
      <c r="F32" s="119"/>
      <c r="G32" s="76"/>
      <c r="H32" s="77"/>
      <c r="I32" s="58"/>
      <c r="J32" s="59"/>
      <c r="K32" s="59"/>
      <c r="L32" s="60"/>
      <c r="M32" s="61"/>
      <c r="N32" s="29"/>
      <c r="O32" s="29"/>
      <c r="P32" s="61"/>
      <c r="Q32" s="61"/>
      <c r="R32" s="78"/>
      <c r="S32" s="79"/>
      <c r="T32" s="57"/>
      <c r="U32" s="59"/>
      <c r="V32" s="60"/>
      <c r="W32" s="70"/>
      <c r="X32" s="70"/>
      <c r="Y32" s="71"/>
      <c r="Z32" s="134">
        <f ca="1">H9</f>
        <v>37194</v>
      </c>
      <c r="AA32" s="77"/>
      <c r="AB32" s="70"/>
      <c r="AC32" s="61"/>
      <c r="AD32" s="68"/>
      <c r="AE32" s="129">
        <f ca="1">Z32</f>
        <v>37194</v>
      </c>
      <c r="AF32" s="68">
        <f ca="1">AE32/$AE$33</f>
        <v>6.729838439728375E-2</v>
      </c>
    </row>
    <row r="33" spans="1:32" s="10" customFormat="1" ht="15.75" thickBot="1" x14ac:dyDescent="0.3">
      <c r="A33" s="8"/>
      <c r="B33" s="9"/>
      <c r="C33" s="80" t="s">
        <v>6</v>
      </c>
      <c r="D33" s="116">
        <f>SUM(D17:D32)</f>
        <v>250000</v>
      </c>
      <c r="E33" s="116">
        <f>SUM(E17:E32)</f>
        <v>27778</v>
      </c>
      <c r="F33" s="116">
        <f>SUM(F17:F32)</f>
        <v>277778</v>
      </c>
      <c r="G33" s="81">
        <f>SUM(G17:G32)</f>
        <v>0.99999999999999989</v>
      </c>
      <c r="H33" s="82">
        <f>H24+H25+H26</f>
        <v>500000</v>
      </c>
      <c r="I33" s="83"/>
      <c r="J33" s="84"/>
      <c r="K33" s="84"/>
      <c r="L33" s="84"/>
      <c r="M33" s="84"/>
      <c r="N33" s="84"/>
      <c r="O33" s="84"/>
      <c r="P33" s="84"/>
      <c r="Q33" s="85"/>
      <c r="R33" s="128">
        <f ca="1">SUM(R17:R31)</f>
        <v>84006</v>
      </c>
      <c r="S33" s="86">
        <f ca="1">SUM(S17:S32)</f>
        <v>1</v>
      </c>
      <c r="T33" s="87"/>
      <c r="U33" s="88"/>
      <c r="V33" s="88"/>
      <c r="W33" s="89"/>
      <c r="X33" s="89"/>
      <c r="Y33" s="133">
        <f ca="1">SUM(Y17:Y32)</f>
        <v>43197</v>
      </c>
      <c r="Z33" s="135">
        <f ca="1">SUM(Z17:Z32)</f>
        <v>37194</v>
      </c>
      <c r="AA33" s="90">
        <f>SUM(AA17:AA32)</f>
        <v>1000000</v>
      </c>
      <c r="AB33" s="91"/>
      <c r="AC33" s="153">
        <f ca="1">SUM(AC17:AC32)</f>
        <v>110498</v>
      </c>
      <c r="AD33" s="92"/>
      <c r="AE33" s="130">
        <f ca="1">SUM(AE17:AE32)</f>
        <v>552673</v>
      </c>
      <c r="AF33" s="93">
        <f ca="1">SUM(AF17:AF32)</f>
        <v>0.99999999999999989</v>
      </c>
    </row>
    <row r="34" spans="1:32" x14ac:dyDescent="0.25">
      <c r="C34" s="46"/>
      <c r="D34" s="46"/>
      <c r="E34" s="46"/>
      <c r="F34" s="46"/>
      <c r="G34" s="47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101"/>
      <c r="Z34" s="46"/>
      <c r="AA34" s="46"/>
      <c r="AB34" s="46"/>
      <c r="AC34" s="46"/>
      <c r="AD34" s="46"/>
      <c r="AE34" s="46"/>
      <c r="AF34" s="46"/>
    </row>
    <row r="35" spans="1:32" ht="15.75" thickBot="1" x14ac:dyDescent="0.3">
      <c r="C35" s="46"/>
      <c r="D35" s="46"/>
      <c r="E35" s="46"/>
      <c r="F35" s="46"/>
      <c r="G35" s="47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108"/>
      <c r="Y35" s="108"/>
      <c r="Z35" s="46"/>
      <c r="AA35" s="46"/>
      <c r="AB35" s="46"/>
      <c r="AC35" s="46"/>
      <c r="AD35" s="46"/>
      <c r="AE35" s="46"/>
      <c r="AF35" s="46"/>
    </row>
    <row r="36" spans="1:32" x14ac:dyDescent="0.25">
      <c r="C36" s="94" t="s">
        <v>30</v>
      </c>
      <c r="D36" s="158" t="s">
        <v>32</v>
      </c>
      <c r="E36" s="158"/>
      <c r="F36" s="156" t="s">
        <v>35</v>
      </c>
      <c r="G36" s="157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107"/>
      <c r="AD36" s="46"/>
      <c r="AE36" s="46"/>
      <c r="AF36" s="46"/>
    </row>
    <row r="37" spans="1:32" x14ac:dyDescent="0.25">
      <c r="C37" s="95" t="s">
        <v>31</v>
      </c>
      <c r="D37" s="96" t="s">
        <v>33</v>
      </c>
      <c r="E37" s="96" t="s">
        <v>34</v>
      </c>
      <c r="F37" s="97" t="s">
        <v>33</v>
      </c>
      <c r="G37" s="98" t="s">
        <v>36</v>
      </c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</row>
    <row r="38" spans="1:32" x14ac:dyDescent="0.25">
      <c r="C38" s="73" t="s">
        <v>37</v>
      </c>
      <c r="D38" s="121">
        <f>SUM(F17:F20)</f>
        <v>250000</v>
      </c>
      <c r="E38" s="99">
        <f>D38/$D$44</f>
        <v>0.89999928000057605</v>
      </c>
      <c r="F38" s="121">
        <f>SUM(AE17:AE20)</f>
        <v>250000</v>
      </c>
      <c r="G38" s="100">
        <f ca="1">F38/$F$44</f>
        <v>0.47314970078012925</v>
      </c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</row>
    <row r="39" spans="1:32" x14ac:dyDescent="0.25">
      <c r="C39" s="73" t="s">
        <v>38</v>
      </c>
      <c r="D39" s="121">
        <f>SUM(E21:E23)</f>
        <v>9723</v>
      </c>
      <c r="E39" s="99">
        <f t="shared" ref="E39:E40" si="9">D39/$D$44</f>
        <v>3.50027719977824E-2</v>
      </c>
      <c r="F39" s="121">
        <f>SUM(AE21:AE23)</f>
        <v>9723</v>
      </c>
      <c r="G39" s="100">
        <f t="shared" ref="G39:G43" ca="1" si="10">F39/$F$44</f>
        <v>1.8401738162740787E-2</v>
      </c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</row>
    <row r="40" spans="1:32" x14ac:dyDescent="0.25">
      <c r="C40" s="73" t="s">
        <v>23</v>
      </c>
      <c r="D40" s="121">
        <f>E31</f>
        <v>18055</v>
      </c>
      <c r="E40" s="99">
        <f t="shared" si="9"/>
        <v>6.4997948001641603E-2</v>
      </c>
      <c r="F40" s="125">
        <f ca="1">SUM(AE31:AE32)</f>
        <v>55249</v>
      </c>
      <c r="G40" s="100">
        <f t="shared" ca="1" si="10"/>
        <v>0.10456419127360544</v>
      </c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</row>
    <row r="41" spans="1:32" x14ac:dyDescent="0.25">
      <c r="C41" s="73" t="s">
        <v>39</v>
      </c>
      <c r="D41" s="122"/>
      <c r="E41" s="99"/>
      <c r="F41" s="121">
        <f ca="1">SUM(AE24:AE26)</f>
        <v>84006</v>
      </c>
      <c r="G41" s="100">
        <f t="shared" ca="1" si="10"/>
        <v>0.15898965505494214</v>
      </c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</row>
    <row r="42" spans="1:32" x14ac:dyDescent="0.25">
      <c r="C42" s="102" t="s">
        <v>43</v>
      </c>
      <c r="D42" s="123"/>
      <c r="E42" s="103"/>
      <c r="F42" s="121">
        <f ca="1">AE27</f>
        <v>18898</v>
      </c>
      <c r="G42" s="100">
        <f t="shared" ca="1" si="10"/>
        <v>3.5766332181371527E-2</v>
      </c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</row>
    <row r="43" spans="1:32" ht="15.75" thickBot="1" x14ac:dyDescent="0.3">
      <c r="C43" s="102" t="s">
        <v>40</v>
      </c>
      <c r="D43" s="123"/>
      <c r="E43" s="103"/>
      <c r="F43" s="121">
        <f ca="1">SUM(AE29:AE30)</f>
        <v>110498</v>
      </c>
      <c r="G43" s="100">
        <f t="shared" ca="1" si="10"/>
        <v>0.20912838254721089</v>
      </c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</row>
    <row r="44" spans="1:32" ht="15.75" thickBot="1" x14ac:dyDescent="0.3">
      <c r="C44" s="104" t="s">
        <v>41</v>
      </c>
      <c r="D44" s="124">
        <f>SUM(D38:D43)</f>
        <v>277778</v>
      </c>
      <c r="E44" s="105">
        <f>SUM(E38:E43)</f>
        <v>1</v>
      </c>
      <c r="F44" s="124">
        <f ca="1">SUM(F38:F43)</f>
        <v>528374</v>
      </c>
      <c r="G44" s="106">
        <f ca="1">SUM(G38:G43)</f>
        <v>0.99999999999999989</v>
      </c>
    </row>
  </sheetData>
  <mergeCells count="46">
    <mergeCell ref="AD15:AD16"/>
    <mergeCell ref="AF15:AF16"/>
    <mergeCell ref="AE15:AE16"/>
    <mergeCell ref="X15:X16"/>
    <mergeCell ref="Y15:Y16"/>
    <mergeCell ref="Z15:Z16"/>
    <mergeCell ref="AA15:AA16"/>
    <mergeCell ref="AB15:AB16"/>
    <mergeCell ref="T15:T16"/>
    <mergeCell ref="U15:U16"/>
    <mergeCell ref="V15:V16"/>
    <mergeCell ref="W15:W16"/>
    <mergeCell ref="AC15:AC16"/>
    <mergeCell ref="O15:O16"/>
    <mergeCell ref="P15:P16"/>
    <mergeCell ref="Q15:Q16"/>
    <mergeCell ref="R15:R16"/>
    <mergeCell ref="S15:S16"/>
    <mergeCell ref="J15:J16"/>
    <mergeCell ref="K15:K16"/>
    <mergeCell ref="L15:L16"/>
    <mergeCell ref="M15:M16"/>
    <mergeCell ref="N15:N16"/>
    <mergeCell ref="AE14:AF14"/>
    <mergeCell ref="C11:G11"/>
    <mergeCell ref="C10:G10"/>
    <mergeCell ref="C9:G9"/>
    <mergeCell ref="C14:G14"/>
    <mergeCell ref="H14:S14"/>
    <mergeCell ref="T14:Y14"/>
    <mergeCell ref="C15:C16"/>
    <mergeCell ref="F36:G36"/>
    <mergeCell ref="D36:E36"/>
    <mergeCell ref="C3:G3"/>
    <mergeCell ref="AA14:AD14"/>
    <mergeCell ref="C8:G8"/>
    <mergeCell ref="C7:G7"/>
    <mergeCell ref="C6:G6"/>
    <mergeCell ref="C5:G5"/>
    <mergeCell ref="C4:G4"/>
    <mergeCell ref="D15:D16"/>
    <mergeCell ref="E15:E16"/>
    <mergeCell ref="F15:F16"/>
    <mergeCell ref="G15:G16"/>
    <mergeCell ref="H15:H16"/>
    <mergeCell ref="I15:I1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B75D6-AE87-45B2-83C3-ECCF7D3F03CC}">
  <sheetPr>
    <pageSetUpPr autoPageBreaks="0"/>
  </sheetPr>
  <dimension ref="A1:W30"/>
  <sheetViews>
    <sheetView topLeftCell="C1" zoomScale="130" zoomScaleNormal="130" workbookViewId="0">
      <selection activeCell="D26" sqref="D26"/>
    </sheetView>
  </sheetViews>
  <sheetFormatPr defaultColWidth="8.85546875" defaultRowHeight="15" x14ac:dyDescent="0.25"/>
  <cols>
    <col min="1" max="1" width="0.85546875" style="1" customWidth="1"/>
    <col min="2" max="2" width="0.85546875" style="5" customWidth="1"/>
    <col min="3" max="3" width="20.140625" customWidth="1"/>
    <col min="4" max="4" width="10.85546875" customWidth="1"/>
    <col min="5" max="5" width="8.140625" bestFit="1" customWidth="1"/>
    <col min="6" max="6" width="12" customWidth="1"/>
    <col min="7" max="7" width="11.42578125" bestFit="1" customWidth="1"/>
    <col min="8" max="8" width="10.5703125" customWidth="1"/>
    <col min="9" max="9" width="8.140625" bestFit="1" customWidth="1"/>
    <col min="10" max="10" width="10.85546875" customWidth="1"/>
    <col min="11" max="11" width="10.5703125" customWidth="1"/>
    <col min="12" max="12" width="10.140625" customWidth="1"/>
    <col min="13" max="13" width="12.140625" customWidth="1"/>
    <col min="14" max="15" width="8.140625" bestFit="1" customWidth="1"/>
    <col min="16" max="16" width="12" customWidth="1"/>
    <col min="17" max="17" width="11.42578125" customWidth="1"/>
    <col min="18" max="19" width="10.85546875" customWidth="1"/>
    <col min="20" max="20" width="8.5703125" customWidth="1"/>
    <col min="21" max="21" width="12.140625" customWidth="1"/>
    <col min="22" max="22" width="10.5703125" customWidth="1"/>
    <col min="23" max="23" width="13.85546875" customWidth="1"/>
    <col min="24" max="24" width="13" customWidth="1"/>
    <col min="25" max="25" width="11.42578125" customWidth="1"/>
    <col min="26" max="26" width="12.42578125" customWidth="1"/>
    <col min="27" max="27" width="15.42578125" customWidth="1"/>
    <col min="28" max="28" width="14.5703125" customWidth="1"/>
    <col min="29" max="29" width="13.42578125" customWidth="1"/>
    <col min="32" max="32" width="9.42578125" bestFit="1" customWidth="1"/>
  </cols>
  <sheetData>
    <row r="1" spans="1:15" s="1" customFormat="1" ht="4.5" customHeight="1" x14ac:dyDescent="0.25"/>
    <row r="2" spans="1:15" ht="14.45" customHeight="1" thickBot="1" x14ac:dyDescent="0.3"/>
    <row r="3" spans="1:15" x14ac:dyDescent="0.25">
      <c r="A3" s="17"/>
      <c r="B3" s="38"/>
      <c r="C3" s="203" t="s">
        <v>45</v>
      </c>
      <c r="D3" s="204"/>
      <c r="E3" s="205"/>
      <c r="F3" s="210" t="s">
        <v>85</v>
      </c>
      <c r="G3" s="210"/>
      <c r="H3" s="210"/>
      <c r="I3" s="210"/>
      <c r="J3" s="211"/>
      <c r="K3" s="203" t="s">
        <v>46</v>
      </c>
      <c r="L3" s="204"/>
      <c r="M3" s="204"/>
      <c r="N3" s="204"/>
      <c r="O3" s="205"/>
    </row>
    <row r="4" spans="1:15" s="2" customFormat="1" ht="14.45" customHeight="1" x14ac:dyDescent="0.25">
      <c r="A4" s="19"/>
      <c r="B4" s="20"/>
      <c r="C4" s="218" t="s">
        <v>1</v>
      </c>
      <c r="D4" s="214" t="s">
        <v>54</v>
      </c>
      <c r="E4" s="215" t="s">
        <v>51</v>
      </c>
      <c r="F4" s="208" t="s">
        <v>83</v>
      </c>
      <c r="G4" s="206" t="s">
        <v>70</v>
      </c>
      <c r="H4" s="206" t="s">
        <v>84</v>
      </c>
      <c r="I4" s="206" t="s">
        <v>66</v>
      </c>
      <c r="J4" s="212" t="s">
        <v>52</v>
      </c>
      <c r="K4" s="216" t="s">
        <v>54</v>
      </c>
      <c r="L4" s="206" t="s">
        <v>82</v>
      </c>
      <c r="M4" s="206" t="s">
        <v>25</v>
      </c>
      <c r="N4" s="206" t="s">
        <v>53</v>
      </c>
      <c r="O4" s="212" t="s">
        <v>51</v>
      </c>
    </row>
    <row r="5" spans="1:15" s="2" customFormat="1" ht="27" customHeight="1" x14ac:dyDescent="0.25">
      <c r="A5" s="19"/>
      <c r="B5" s="20"/>
      <c r="C5" s="218"/>
      <c r="D5" s="214"/>
      <c r="E5" s="215"/>
      <c r="F5" s="209"/>
      <c r="G5" s="207"/>
      <c r="H5" s="207"/>
      <c r="I5" s="207"/>
      <c r="J5" s="213"/>
      <c r="K5" s="217"/>
      <c r="L5" s="207"/>
      <c r="M5" s="207"/>
      <c r="N5" s="207"/>
      <c r="O5" s="213"/>
    </row>
    <row r="6" spans="1:15" x14ac:dyDescent="0.25">
      <c r="A6" s="17"/>
      <c r="B6" s="18"/>
      <c r="C6" s="21" t="str">
        <f>'Cap Table'!C17</f>
        <v>Founder 1</v>
      </c>
      <c r="D6" s="136">
        <f>'Cap Table'!D17</f>
        <v>100000</v>
      </c>
      <c r="E6" s="23">
        <f>IFERROR(D6/$D$19,0)</f>
        <v>0.3599997120002304</v>
      </c>
      <c r="F6" s="141">
        <f>'Cap Table'!R17</f>
        <v>0</v>
      </c>
      <c r="G6" s="24"/>
      <c r="H6" s="22">
        <f>'Cap Table'!AC17</f>
        <v>0</v>
      </c>
      <c r="I6" s="25">
        <f ca="1">H6/$H$19</f>
        <v>0</v>
      </c>
      <c r="J6" s="26"/>
      <c r="K6" s="145">
        <f t="shared" ref="K6:K17" si="0">D6</f>
        <v>100000</v>
      </c>
      <c r="L6" s="136">
        <f>F6+H6</f>
        <v>0</v>
      </c>
      <c r="M6" s="150">
        <f>K6+L6</f>
        <v>100000</v>
      </c>
      <c r="N6" s="44">
        <f ca="1">M6/($M$19-$M$18-$M$17)</f>
        <v>0.20504366404825908</v>
      </c>
      <c r="O6" s="28">
        <f ca="1">M6/$M$19</f>
        <v>0.18093881915707841</v>
      </c>
    </row>
    <row r="7" spans="1:15" x14ac:dyDescent="0.25">
      <c r="A7" s="17"/>
      <c r="B7" s="18"/>
      <c r="C7" s="21" t="str">
        <f>'Cap Table'!C18</f>
        <v>Founder 2</v>
      </c>
      <c r="D7" s="136">
        <f>'Cap Table'!D18</f>
        <v>65000</v>
      </c>
      <c r="E7" s="23">
        <f>IFERROR(D7/$D$19,0)</f>
        <v>0.23399981280014975</v>
      </c>
      <c r="F7" s="141">
        <f>'Cap Table'!R18</f>
        <v>0</v>
      </c>
      <c r="G7" s="24"/>
      <c r="H7" s="22">
        <f>'Cap Table'!AC18</f>
        <v>0</v>
      </c>
      <c r="I7" s="25">
        <f ca="1">H7/$H$19</f>
        <v>0</v>
      </c>
      <c r="J7" s="26"/>
      <c r="K7" s="145">
        <f t="shared" si="0"/>
        <v>65000</v>
      </c>
      <c r="L7" s="136">
        <f t="shared" ref="L7:L18" si="1">F7+H7</f>
        <v>0</v>
      </c>
      <c r="M7" s="150">
        <f t="shared" ref="M7:M18" si="2">K7+L7</f>
        <v>65000</v>
      </c>
      <c r="N7" s="44">
        <f t="shared" ref="N7:N16" ca="1" si="3">M7/($M$19-$M$18-$M$17)</f>
        <v>0.1332783816313684</v>
      </c>
      <c r="O7" s="28">
        <f t="shared" ref="O7:O18" ca="1" si="4">M7/$M$19</f>
        <v>0.11761023245210098</v>
      </c>
    </row>
    <row r="8" spans="1:15" x14ac:dyDescent="0.25">
      <c r="A8" s="17"/>
      <c r="B8" s="18"/>
      <c r="C8" s="21" t="str">
        <f>'Cap Table'!C19</f>
        <v>Founder 3</v>
      </c>
      <c r="D8" s="136">
        <f>'Cap Table'!D19</f>
        <v>65000</v>
      </c>
      <c r="E8" s="23">
        <f>IFERROR(D8/$D$19,0)</f>
        <v>0.23399981280014975</v>
      </c>
      <c r="F8" s="141">
        <f>'Cap Table'!R19</f>
        <v>0</v>
      </c>
      <c r="G8" s="24"/>
      <c r="H8" s="22">
        <f>'Cap Table'!AC19</f>
        <v>0</v>
      </c>
      <c r="I8" s="25">
        <f ca="1">H8/$H$19</f>
        <v>0</v>
      </c>
      <c r="J8" s="26"/>
      <c r="K8" s="145">
        <f t="shared" si="0"/>
        <v>65000</v>
      </c>
      <c r="L8" s="136">
        <f t="shared" si="1"/>
        <v>0</v>
      </c>
      <c r="M8" s="150">
        <f t="shared" si="2"/>
        <v>65000</v>
      </c>
      <c r="N8" s="44">
        <f t="shared" ca="1" si="3"/>
        <v>0.1332783816313684</v>
      </c>
      <c r="O8" s="28">
        <f t="shared" ca="1" si="4"/>
        <v>0.11761023245210098</v>
      </c>
    </row>
    <row r="9" spans="1:15" x14ac:dyDescent="0.25">
      <c r="A9" s="17"/>
      <c r="B9" s="18"/>
      <c r="C9" s="21" t="str">
        <f>'Cap Table'!C20</f>
        <v>Founder 4</v>
      </c>
      <c r="D9" s="136">
        <f>'Cap Table'!D20</f>
        <v>20000</v>
      </c>
      <c r="E9" s="23">
        <f t="shared" ref="E9:E18" si="5">IFERROR(D9/$D$19,0)</f>
        <v>7.1999942400046077E-2</v>
      </c>
      <c r="F9" s="142">
        <f>'Cap Table'!R20</f>
        <v>0</v>
      </c>
      <c r="G9" s="24"/>
      <c r="H9" s="22">
        <f>'Cap Table'!AC20</f>
        <v>0</v>
      </c>
      <c r="I9" s="25">
        <f ca="1">H9/$H$19</f>
        <v>0</v>
      </c>
      <c r="J9" s="26"/>
      <c r="K9" s="145">
        <f>D9</f>
        <v>20000</v>
      </c>
      <c r="L9" s="136">
        <f t="shared" si="1"/>
        <v>0</v>
      </c>
      <c r="M9" s="150">
        <f t="shared" si="2"/>
        <v>20000</v>
      </c>
      <c r="N9" s="44">
        <f t="shared" ca="1" si="3"/>
        <v>4.1008732809651817E-2</v>
      </c>
      <c r="O9" s="28">
        <f t="shared" ca="1" si="4"/>
        <v>3.6187763831415684E-2</v>
      </c>
    </row>
    <row r="10" spans="1:15" x14ac:dyDescent="0.25">
      <c r="A10" s="17"/>
      <c r="B10" s="18"/>
      <c r="C10" s="21" t="str">
        <f>'Cap Table'!C24</f>
        <v>Convertible Investor 1</v>
      </c>
      <c r="D10" s="136">
        <f>'Cap Table'!D24</f>
        <v>0</v>
      </c>
      <c r="E10" s="23">
        <f t="shared" si="5"/>
        <v>0</v>
      </c>
      <c r="F10" s="143">
        <f ca="1">'Cap Table'!R24</f>
        <v>41991</v>
      </c>
      <c r="G10" s="24"/>
      <c r="H10" s="22">
        <f>'Cap Table'!AC24</f>
        <v>0</v>
      </c>
      <c r="I10" s="25">
        <f ca="1">(F10+H10)/($F$19+$H$19)</f>
        <v>0.17665470486030771</v>
      </c>
      <c r="J10" s="26"/>
      <c r="K10" s="145">
        <f t="shared" si="0"/>
        <v>0</v>
      </c>
      <c r="L10" s="148">
        <f t="shared" ca="1" si="1"/>
        <v>41991</v>
      </c>
      <c r="M10" s="150">
        <f ca="1">K10+L10</f>
        <v>41991</v>
      </c>
      <c r="N10" s="44">
        <f t="shared" ca="1" si="3"/>
        <v>8.609988497050447E-2</v>
      </c>
      <c r="O10" s="28">
        <f t="shared" ca="1" si="4"/>
        <v>7.5978019552248796E-2</v>
      </c>
    </row>
    <row r="11" spans="1:15" x14ac:dyDescent="0.25">
      <c r="A11" s="17"/>
      <c r="B11" s="18"/>
      <c r="C11" s="21" t="str">
        <f>'Cap Table'!C25</f>
        <v>Convertible Investor 2</v>
      </c>
      <c r="D11" s="136">
        <f>'Cap Table'!D25</f>
        <v>0</v>
      </c>
      <c r="E11" s="23">
        <f t="shared" si="5"/>
        <v>0</v>
      </c>
      <c r="F11" s="143">
        <f ca="1">'Cap Table'!R25</f>
        <v>25235</v>
      </c>
      <c r="G11" s="24"/>
      <c r="H11" s="22">
        <f>'Cap Table'!AC25</f>
        <v>0</v>
      </c>
      <c r="I11" s="25">
        <f t="shared" ref="I11:I16" ca="1" si="6">(F11+H11)/($F$19+$H$19)</f>
        <v>0.10616278433830736</v>
      </c>
      <c r="J11" s="26"/>
      <c r="K11" s="145">
        <f t="shared" si="0"/>
        <v>0</v>
      </c>
      <c r="L11" s="148">
        <f t="shared" ca="1" si="1"/>
        <v>25235</v>
      </c>
      <c r="M11" s="150">
        <f t="shared" ca="1" si="2"/>
        <v>25235</v>
      </c>
      <c r="N11" s="44">
        <f t="shared" ca="1" si="3"/>
        <v>5.1742768622578178E-2</v>
      </c>
      <c r="O11" s="28">
        <f t="shared" ca="1" si="4"/>
        <v>4.5659911014288741E-2</v>
      </c>
    </row>
    <row r="12" spans="1:15" x14ac:dyDescent="0.25">
      <c r="A12" s="17"/>
      <c r="B12" s="18"/>
      <c r="C12" s="21" t="str">
        <f>'Cap Table'!C26</f>
        <v>Convertible Investor 3</v>
      </c>
      <c r="D12" s="136">
        <f>'Cap Table'!D26</f>
        <v>0</v>
      </c>
      <c r="E12" s="23">
        <f t="shared" si="5"/>
        <v>0</v>
      </c>
      <c r="F12" s="143">
        <f ca="1">'Cap Table'!R26</f>
        <v>16780</v>
      </c>
      <c r="G12" s="24"/>
      <c r="H12" s="22">
        <f>'Cap Table'!AC26</f>
        <v>0</v>
      </c>
      <c r="I12" s="25">
        <f t="shared" ca="1" si="6"/>
        <v>7.0592887703459395E-2</v>
      </c>
      <c r="J12" s="26"/>
      <c r="K12" s="145">
        <f t="shared" si="0"/>
        <v>0</v>
      </c>
      <c r="L12" s="148">
        <f t="shared" ca="1" si="1"/>
        <v>16780</v>
      </c>
      <c r="M12" s="150">
        <f t="shared" ca="1" si="2"/>
        <v>16780</v>
      </c>
      <c r="N12" s="44">
        <f t="shared" ca="1" si="3"/>
        <v>3.440632682729787E-2</v>
      </c>
      <c r="O12" s="28">
        <f t="shared" ca="1" si="4"/>
        <v>3.0361533854557757E-2</v>
      </c>
    </row>
    <row r="13" spans="1:15" x14ac:dyDescent="0.25">
      <c r="A13" s="17"/>
      <c r="B13" s="18"/>
      <c r="C13" s="21" t="str">
        <f>'Cap Table'!C27</f>
        <v>Pre-money SAFE Investor</v>
      </c>
      <c r="D13" s="136">
        <f>'Cap Table'!D27</f>
        <v>0</v>
      </c>
      <c r="E13" s="23">
        <f t="shared" si="5"/>
        <v>0</v>
      </c>
      <c r="F13" s="143">
        <f ca="1">'Cap Table'!Y27</f>
        <v>18898</v>
      </c>
      <c r="G13" s="24"/>
      <c r="H13" s="22">
        <f>'Cap Table'!AC27</f>
        <v>0</v>
      </c>
      <c r="I13" s="25">
        <f t="shared" ca="1" si="6"/>
        <v>7.950324146722143E-2</v>
      </c>
      <c r="J13" s="26"/>
      <c r="K13" s="145">
        <f t="shared" si="0"/>
        <v>0</v>
      </c>
      <c r="L13" s="148">
        <f t="shared" ca="1" si="1"/>
        <v>18898</v>
      </c>
      <c r="M13" s="150">
        <f t="shared" ca="1" si="2"/>
        <v>18898</v>
      </c>
      <c r="N13" s="44">
        <f t="shared" ca="1" si="3"/>
        <v>3.8749151631839999E-2</v>
      </c>
      <c r="O13" s="28">
        <f t="shared" ca="1" si="4"/>
        <v>3.4193818044304679E-2</v>
      </c>
    </row>
    <row r="14" spans="1:15" x14ac:dyDescent="0.25">
      <c r="A14" s="17"/>
      <c r="B14" s="18"/>
      <c r="C14" s="21" t="str">
        <f>'Cap Table'!C28</f>
        <v>Post-money SAFE Investor</v>
      </c>
      <c r="D14" s="136">
        <f>'Cap Table'!D28</f>
        <v>0</v>
      </c>
      <c r="E14" s="23">
        <f t="shared" si="5"/>
        <v>0</v>
      </c>
      <c r="F14" s="143">
        <f ca="1">'Cap Table'!Y28</f>
        <v>24299</v>
      </c>
      <c r="G14" s="24"/>
      <c r="H14" s="22">
        <f>'Cap Table'!AC28</f>
        <v>0</v>
      </c>
      <c r="I14" s="25">
        <f t="shared" ca="1" si="6"/>
        <v>0.10222506426140403</v>
      </c>
      <c r="J14" s="26"/>
      <c r="K14" s="145">
        <f t="shared" si="0"/>
        <v>0</v>
      </c>
      <c r="L14" s="148">
        <f t="shared" ca="1" si="1"/>
        <v>24299</v>
      </c>
      <c r="M14" s="150">
        <f t="shared" ca="1" si="2"/>
        <v>24299</v>
      </c>
      <c r="N14" s="44">
        <f t="shared" ca="1" si="3"/>
        <v>4.9823559927086473E-2</v>
      </c>
      <c r="O14" s="28">
        <f t="shared" ca="1" si="4"/>
        <v>4.3966323666978488E-2</v>
      </c>
    </row>
    <row r="15" spans="1:15" x14ac:dyDescent="0.25">
      <c r="A15" s="17"/>
      <c r="B15" s="18"/>
      <c r="C15" s="21" t="str">
        <f>'Cap Table'!C29</f>
        <v>Seed Investor 1</v>
      </c>
      <c r="D15" s="136">
        <f>'Cap Table'!D29</f>
        <v>0</v>
      </c>
      <c r="E15" s="23">
        <f t="shared" si="5"/>
        <v>0</v>
      </c>
      <c r="F15" s="142">
        <f>'Cap Table'!R29</f>
        <v>0</v>
      </c>
      <c r="G15" s="140">
        <f ca="1">'Cap Table'!AB29</f>
        <v>500003.45</v>
      </c>
      <c r="H15" s="143">
        <f ca="1">'Cap Table'!AC29</f>
        <v>55249</v>
      </c>
      <c r="I15" s="25">
        <f ca="1">(F15+H15)/($F$19+$H$19)</f>
        <v>0.23243065868465004</v>
      </c>
      <c r="J15" s="26"/>
      <c r="K15" s="145">
        <f t="shared" si="0"/>
        <v>0</v>
      </c>
      <c r="L15" s="148">
        <f t="shared" ca="1" si="1"/>
        <v>55249</v>
      </c>
      <c r="M15" s="150">
        <f t="shared" ca="1" si="2"/>
        <v>55249</v>
      </c>
      <c r="N15" s="44">
        <f t="shared" ca="1" si="3"/>
        <v>0.11328457395002266</v>
      </c>
      <c r="O15" s="28">
        <f t="shared" ca="1" si="4"/>
        <v>9.9966888196094256E-2</v>
      </c>
    </row>
    <row r="16" spans="1:15" x14ac:dyDescent="0.25">
      <c r="A16" s="17"/>
      <c r="B16" s="18"/>
      <c r="C16" s="21" t="str">
        <f>'Cap Table'!C30</f>
        <v>Seed Investor 2</v>
      </c>
      <c r="D16" s="136">
        <f>'Cap Table'!D30</f>
        <v>0</v>
      </c>
      <c r="E16" s="23">
        <f t="shared" si="5"/>
        <v>0</v>
      </c>
      <c r="F16" s="142">
        <f>'Cap Table'!R30</f>
        <v>0</v>
      </c>
      <c r="G16" s="140">
        <f ca="1">'Cap Table'!AB30</f>
        <v>500003.45</v>
      </c>
      <c r="H16" s="143">
        <f ca="1">'Cap Table'!AC30</f>
        <v>55249</v>
      </c>
      <c r="I16" s="25">
        <f t="shared" ca="1" si="6"/>
        <v>0.23243065868465004</v>
      </c>
      <c r="J16" s="26"/>
      <c r="K16" s="145">
        <f t="shared" si="0"/>
        <v>0</v>
      </c>
      <c r="L16" s="148">
        <f t="shared" ca="1" si="1"/>
        <v>55249</v>
      </c>
      <c r="M16" s="150">
        <f t="shared" ca="1" si="2"/>
        <v>55249</v>
      </c>
      <c r="N16" s="44">
        <f t="shared" ca="1" si="3"/>
        <v>0.11328457395002266</v>
      </c>
      <c r="O16" s="28">
        <f t="shared" ca="1" si="4"/>
        <v>9.9966888196094256E-2</v>
      </c>
    </row>
    <row r="17" spans="1:23" x14ac:dyDescent="0.25">
      <c r="A17" s="17"/>
      <c r="B17" s="18"/>
      <c r="C17" s="21" t="s">
        <v>47</v>
      </c>
      <c r="D17" s="136">
        <f>'Cap Table'!F21+'Cap Table'!F22+'Cap Table'!F23</f>
        <v>9723</v>
      </c>
      <c r="E17" s="23">
        <f t="shared" si="5"/>
        <v>3.50027719977824E-2</v>
      </c>
      <c r="F17" s="142">
        <v>0</v>
      </c>
      <c r="G17" s="24"/>
      <c r="H17" s="22">
        <v>0</v>
      </c>
      <c r="I17" s="25">
        <f ca="1">H17/$H$19</f>
        <v>0</v>
      </c>
      <c r="J17" s="26"/>
      <c r="K17" s="145">
        <f t="shared" si="0"/>
        <v>9723</v>
      </c>
      <c r="L17" s="136">
        <f t="shared" si="1"/>
        <v>0</v>
      </c>
      <c r="M17" s="150">
        <f t="shared" si="2"/>
        <v>9723</v>
      </c>
      <c r="N17" s="27"/>
      <c r="O17" s="28">
        <f t="shared" ca="1" si="4"/>
        <v>1.7592681386642734E-2</v>
      </c>
    </row>
    <row r="18" spans="1:23" ht="15.75" thickBot="1" x14ac:dyDescent="0.3">
      <c r="A18" s="17"/>
      <c r="B18" s="18"/>
      <c r="C18" s="30" t="s">
        <v>48</v>
      </c>
      <c r="D18" s="137">
        <f>'Cap Table'!F31</f>
        <v>18055</v>
      </c>
      <c r="E18" s="32">
        <f t="shared" si="5"/>
        <v>6.4997948001641603E-2</v>
      </c>
      <c r="F18" s="144">
        <v>0</v>
      </c>
      <c r="G18" s="33"/>
      <c r="H18" s="31">
        <v>0</v>
      </c>
      <c r="I18" s="34">
        <f ca="1">H18/$H$19</f>
        <v>0</v>
      </c>
      <c r="J18" s="143">
        <f ca="1">'Cap Table'!Z32</f>
        <v>37194</v>
      </c>
      <c r="K18" s="146">
        <f ca="1">D18+J18</f>
        <v>55249</v>
      </c>
      <c r="L18" s="137">
        <f t="shared" si="1"/>
        <v>0</v>
      </c>
      <c r="M18" s="151">
        <f t="shared" ca="1" si="2"/>
        <v>55249</v>
      </c>
      <c r="N18" s="35"/>
      <c r="O18" s="36">
        <f t="shared" ca="1" si="4"/>
        <v>9.9966888196094256E-2</v>
      </c>
    </row>
    <row r="19" spans="1:23" s="10" customFormat="1" ht="15.75" thickBot="1" x14ac:dyDescent="0.3">
      <c r="A19" s="37"/>
      <c r="B19" s="38"/>
      <c r="C19" s="39" t="s">
        <v>6</v>
      </c>
      <c r="D19" s="138">
        <f>SUM(D6:D18)</f>
        <v>277778</v>
      </c>
      <c r="E19" s="40">
        <f>SUM(E6:E18)</f>
        <v>1</v>
      </c>
      <c r="F19" s="139">
        <f ca="1">SUM(F6:F18)</f>
        <v>127203</v>
      </c>
      <c r="G19" s="41"/>
      <c r="H19" s="139">
        <f ca="1">SUM(H6:H18)</f>
        <v>110498</v>
      </c>
      <c r="I19" s="42">
        <f ca="1">SUM(I6:I18)</f>
        <v>1</v>
      </c>
      <c r="J19" s="43"/>
      <c r="K19" s="147">
        <f ca="1">SUM(K6:K18)</f>
        <v>314972</v>
      </c>
      <c r="L19" s="149">
        <f ca="1">SUM(L6:L18)</f>
        <v>237701</v>
      </c>
      <c r="M19" s="152">
        <f ca="1">SUM(M6:M18)</f>
        <v>552673</v>
      </c>
      <c r="N19" s="45">
        <f ca="1">SUM(N6:N16)</f>
        <v>1</v>
      </c>
      <c r="O19" s="40">
        <f ca="1">SUM(O6:O18)</f>
        <v>0.99999999999999989</v>
      </c>
      <c r="P19" s="13"/>
      <c r="Q19" s="13"/>
      <c r="R19" s="14"/>
      <c r="S19" s="15"/>
      <c r="T19" s="13"/>
      <c r="U19" s="15"/>
      <c r="V19" s="13"/>
      <c r="W19" s="12"/>
    </row>
    <row r="22" spans="1:23" x14ac:dyDescent="0.25">
      <c r="C22" s="16"/>
    </row>
    <row r="23" spans="1:23" x14ac:dyDescent="0.25">
      <c r="C23" s="16"/>
      <c r="D23" s="16"/>
      <c r="E23" s="16"/>
      <c r="F23" s="16"/>
      <c r="G23" s="16"/>
    </row>
    <row r="24" spans="1:23" x14ac:dyDescent="0.25">
      <c r="E24" s="4"/>
    </row>
    <row r="25" spans="1:23" x14ac:dyDescent="0.25">
      <c r="E25" s="4"/>
    </row>
    <row r="26" spans="1:23" x14ac:dyDescent="0.25">
      <c r="E26" s="4"/>
      <c r="F26" s="11"/>
      <c r="G26" s="11"/>
    </row>
    <row r="27" spans="1:23" x14ac:dyDescent="0.25">
      <c r="E27" s="4"/>
    </row>
    <row r="28" spans="1:23" x14ac:dyDescent="0.25">
      <c r="E28" s="4"/>
    </row>
    <row r="29" spans="1:23" x14ac:dyDescent="0.25">
      <c r="E29" s="4"/>
    </row>
    <row r="30" spans="1:23" x14ac:dyDescent="0.25">
      <c r="C30" s="16"/>
      <c r="E30" s="4"/>
      <c r="F30" s="11"/>
      <c r="G30" s="11"/>
    </row>
  </sheetData>
  <mergeCells count="16">
    <mergeCell ref="K3:O3"/>
    <mergeCell ref="H4:H5"/>
    <mergeCell ref="F4:F5"/>
    <mergeCell ref="C3:E3"/>
    <mergeCell ref="F3:J3"/>
    <mergeCell ref="J4:J5"/>
    <mergeCell ref="M4:M5"/>
    <mergeCell ref="D4:D5"/>
    <mergeCell ref="E4:E5"/>
    <mergeCell ref="G4:G5"/>
    <mergeCell ref="K4:K5"/>
    <mergeCell ref="L4:L5"/>
    <mergeCell ref="N4:N5"/>
    <mergeCell ref="O4:O5"/>
    <mergeCell ref="I4:I5"/>
    <mergeCell ref="C4:C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properties xmlns="http://www.imanage.com/work/xmlschema">
  <documentid>LEGAL!13091119.1</documentid>
  <senderid>MIRELL.PROSA</senderid>
  <senderemail>MIRELL.PROSA@SORAINEN.COM</senderemail>
  <lastmodified>2026-04-24T14:01:13.0000000+03:00</lastmodified>
  <database>LEGAL</database>
</properties>
</file>

<file path=customXml/itemProps1.xml><?xml version="1.0" encoding="utf-8"?>
<ds:datastoreItem xmlns:ds="http://schemas.openxmlformats.org/officeDocument/2006/customXml" ds:itemID="{5E5189E9-7A92-4D4F-A3D4-69D9DE5A8A54}">
  <ds:schemaRefs>
    <ds:schemaRef ds:uri="http://www.imanage.com/work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 and Inputs</vt:lpstr>
      <vt:lpstr>Cap Table</vt:lpstr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2020-05-28T13:15:36Z</dcterms:created>
  <dcterms:modified xsi:type="dcterms:W3CDTF">2026-10-19T11:42:12Z</dcterms:modified>
</cp:coreProperties>
</file>